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rzvzjLDeEAglkZLdTr/AyBq2gbOGnjtAAafF9wJ3cRyl21J8UrnoQGTXLC1V8S1UCzoq5BwOMoZeSJamCsFQog==" workbookSaltValue="QLU9CJLhn1q5OaHHpKER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7" i="8" l="1"/>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7" i="2"/>
  <c r="X16" i="16"/>
  <c r="X23" i="16" s="1"/>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8" i="2"/>
  <c r="AA11"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Q17" i="1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<sst xmlns="http://schemas.openxmlformats.org/spreadsheetml/2006/main" count="2682" uniqueCount="1193">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</sst>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bTXst6BzFzQp9LNBsilJQXCso7G9Wieiiy2t/B5e4YlYZpVJIC/7roKCLunPn0t8RSpuVoKywl9v0T+ZM0cxQ==" saltValue="n6HhBRVQV8QLbN2ScikN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47</v>
      </c>
      <c r="D10" s="239">
        <f>IF(ISNUMBER(Datos!I10),Datos!I10," - ")</f>
        <v>47</v>
      </c>
      <c r="E10" s="240">
        <f>IF(ISNUMBER(Datos!J10),Datos!J10," - ")</f>
        <v>7</v>
      </c>
      <c r="F10" s="240">
        <f>IF(ISNUMBER(Datos!K10),Datos!K10," - ")</f>
        <v>19</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-0.25531914893617019</v>
      </c>
      <c r="L10" s="1402">
        <f>IF(ISNUMBER(NºAsuntos!I10/NºAsuntos!G10),(NºAsuntos!I10/NºAsuntos!G10)*11," - ")</f>
        <v>20.263157894736842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25.641379310344831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47</v>
      </c>
      <c r="D14" s="1407">
        <f>SUBTOTAL(9,D9:D13)</f>
        <v>47</v>
      </c>
      <c r="E14" s="1408">
        <f>SUBTOTAL(9,E9:E13)</f>
        <v>7</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597</v>
      </c>
      <c r="D17" s="239">
        <f>IF(ISNUMBER(IF(D_I="SI",Datos!I17,Datos!I17+Datos!AC17)),IF(D_I="SI",Datos!I17,Datos!I17+Datos!AC17)," - ")</f>
        <v>597</v>
      </c>
      <c r="E17" s="240">
        <f>IF(ISNUMBER(IF(D_I="SI",Datos!J17,Datos!J17+Datos!AD17)),IF(D_I="SI",Datos!J17,Datos!J17+Datos!AD17)," - ")</f>
        <v>419</v>
      </c>
      <c r="F17" s="240">
        <f>IF(ISNUMBER(IF(D_I="SI",Datos!K17,Datos!K17+Datos!AE17)),IF(D_I="SI",Datos!K17,Datos!K17+Datos!AE17)," - ")</f>
        <v>432</v>
      </c>
      <c r="G17" s="1390" t="str">
        <f>IF(Datos!E17&lt;&gt;"",Datos!E17,Datos!D17)</f>
        <v>04</v>
      </c>
      <c r="H17" s="241">
        <f>IF(ISNUMBER(IF(D_I="SI",Datos!L17,Datos!L17+Datos!AF17)),IF(D_I="SI",Datos!L17,Datos!L17+Datos!AF17)," - ")</f>
        <v>584</v>
      </c>
      <c r="I17" s="1400" t="str">
        <f>IF(ISNUMBER(Datos!AS17/Datos!BM17),Datos!AS17/Datos!BM17," - ")</f>
        <v xml:space="preserve"> - </v>
      </c>
      <c r="J17" s="1401">
        <f>IF(ISNUMBER(Datos!BY17/Datos!CN17),Datos!BY17/Datos!CN17," - ")</f>
        <v>0</v>
      </c>
      <c r="K17" s="244">
        <f t="shared" si="3"/>
        <v>-2.1775544388609715E-2</v>
      </c>
      <c r="L17" s="1402">
        <f>IF(ISNUMBER(NºAsuntos!I17/NºAsuntos!G17),(NºAsuntos!I17/NºAsuntos!G17)*11," - ")</f>
        <v>14.87037037037037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v>
      </c>
      <c r="D18" s="239">
        <f>IF(ISNUMBER(IF(D_I="SI",Datos!I18,Datos!I18+Datos!AC18)),IF(D_I="SI",Datos!I18,Datos!I18+Datos!AC18)," - ")</f>
        <v>32</v>
      </c>
      <c r="E18" s="240">
        <f>IF(ISNUMBER(IF(D_I="SI",Datos!J18,Datos!J18+Datos!AD18)),IF(D_I="SI",Datos!J18,Datos!J18+Datos!AD18)," - ")</f>
        <v>73</v>
      </c>
      <c r="F18" s="240">
        <f>IF(ISNUMBER(IF(D_I="SI",Datos!K18,Datos!K18+Datos!AE18)),IF(D_I="SI",Datos!K18,Datos!K18+Datos!AE18)," - ")</f>
        <v>77</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629</v>
      </c>
      <c r="D23" s="1407">
        <f>SUBTOTAL(9,D16:D22)</f>
        <v>629</v>
      </c>
      <c r="E23" s="1408">
        <f>SUBTOTAL(9,E16:E22)</f>
        <v>492</v>
      </c>
      <c r="F23" s="1408">
        <f>SUBTOTAL(9,F16:F22)</f>
        <v>509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676</v>
      </c>
      <c r="D31" s="1435">
        <f>SUBTOTAL(9,D9:D30)</f>
        <v>676</v>
      </c>
      <c r="E31" s="1436">
        <f>SUBTOTAL(9,E9:E30)</f>
        <v>499</v>
      </c>
      <c r="F31" s="1436">
        <f>SUBTOTAL(9,F9:F30)</f>
        <v>528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l0PcYmUOG6JgCdq06CLbL0nqGRcrqdShFs6WC24RSEJ3FxySSva6nBnxs5Q7yvr4SVh5VLSF6WmAhYzEbbfig==" saltValue="Aukxe3Yx65MOOf+vo5aKB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O8XkD2Al65l3pqXapRgfVTCzTegoflzn50b/a2FXIuAOmph4mxoRBroQMO+GT7R9Qz5zB4qz3aYSQ1zIxalIw==" saltValue="eR9y408JHMySl+pI5a1H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7</v>
      </c>
      <c r="K10" s="194">
        <v>19</v>
      </c>
      <c r="L10" s="194">
        <v>35</v>
      </c>
      <c r="M10" s="194">
        <v>11</v>
      </c>
      <c r="N10" s="194">
        <v>4</v>
      </c>
      <c r="O10" s="194">
        <v>0</v>
      </c>
      <c r="P10" s="194">
        <v>0</v>
      </c>
      <c r="Q10" s="194">
        <v>0</v>
      </c>
      <c r="R10" s="194">
        <v>7</v>
      </c>
      <c r="S10" s="194">
        <v>36</v>
      </c>
      <c r="T10" s="194">
        <v>9</v>
      </c>
      <c r="U10" s="194">
        <v>6</v>
      </c>
      <c r="V10" s="194">
        <v>39</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9</v>
      </c>
      <c r="BA10" s="139">
        <f t="shared" si="0"/>
        <v>6</v>
      </c>
      <c r="BB10" s="139">
        <f t="shared" si="0"/>
        <v>39</v>
      </c>
      <c r="BC10" s="135">
        <f t="shared" si="0"/>
        <v>6</v>
      </c>
      <c r="BD10" s="136">
        <f>IF(ISNUMBER(BA10/AZ10),BA10/AZ10," - ")</f>
        <v>0.66666666666666663</v>
      </c>
      <c r="BE10" s="137">
        <f>IF(ISNUMBER(BB10/BA10),BB10/BA10, " - ")</f>
        <v>6.5</v>
      </c>
      <c r="BF10" s="137">
        <f>IF(ISNUMBER(BC10/BA10),BC10/BA10, " - ")</f>
        <v>1</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997</v>
      </c>
      <c r="J12" s="196">
        <v>356</v>
      </c>
      <c r="K12" s="196">
        <v>371</v>
      </c>
      <c r="L12" s="196">
        <v>982</v>
      </c>
      <c r="M12" s="196">
        <v>94</v>
      </c>
      <c r="N12" s="196">
        <v>194</v>
      </c>
      <c r="O12" s="194">
        <v>136</v>
      </c>
      <c r="P12" s="196">
        <v>95</v>
      </c>
      <c r="Q12" s="196">
        <v>200</v>
      </c>
      <c r="R12" s="196">
        <v>2679</v>
      </c>
      <c r="S12" s="196">
        <v>1154</v>
      </c>
      <c r="T12" s="196">
        <v>516</v>
      </c>
      <c r="U12" s="196">
        <v>663</v>
      </c>
      <c r="V12" s="196">
        <v>1082</v>
      </c>
      <c r="W12" s="196">
        <v>103</v>
      </c>
      <c r="X12" s="202">
        <v>332</v>
      </c>
      <c r="Y12" s="204">
        <v>54</v>
      </c>
      <c r="Z12" s="194">
        <v>42</v>
      </c>
      <c r="AA12" s="194">
        <v>64</v>
      </c>
      <c r="AB12" s="194">
        <v>32</v>
      </c>
      <c r="AC12" s="196">
        <v>0</v>
      </c>
      <c r="AD12" s="196">
        <v>0</v>
      </c>
      <c r="AE12" s="196">
        <v>0</v>
      </c>
      <c r="AF12" s="202">
        <v>0</v>
      </c>
      <c r="AG12" s="215">
        <v>91</v>
      </c>
      <c r="AH12" s="196">
        <v>51</v>
      </c>
      <c r="AI12" s="196">
        <v>56</v>
      </c>
      <c r="AJ12" s="216">
        <v>86</v>
      </c>
      <c r="AK12" s="195">
        <v>0</v>
      </c>
      <c r="AL12" s="196">
        <v>0</v>
      </c>
      <c r="AM12" s="196">
        <v>0</v>
      </c>
      <c r="AN12" s="202">
        <v>0</v>
      </c>
      <c r="AO12" s="283">
        <v>3</v>
      </c>
      <c r="AP12" s="168">
        <v>3</v>
      </c>
      <c r="AQ12" s="168">
        <v>3</v>
      </c>
      <c r="AR12" s="167">
        <v>3</v>
      </c>
      <c r="AS12" s="381" t="s">
        <v>1075</v>
      </c>
      <c r="AT12" s="216"/>
      <c r="AU12" s="215"/>
      <c r="AV12" s="216"/>
      <c r="AW12" s="215"/>
      <c r="AX12" s="216"/>
      <c r="AY12" s="136">
        <f t="shared" si="1"/>
        <v>1245</v>
      </c>
      <c r="AZ12" s="137">
        <f t="shared" si="1"/>
        <v>567</v>
      </c>
      <c r="BA12" s="137">
        <f t="shared" si="1"/>
        <v>719</v>
      </c>
      <c r="BB12" s="137">
        <f t="shared" si="1"/>
        <v>1168</v>
      </c>
      <c r="BC12" s="135">
        <f>IF(ISNUMBER(X12),X12," - ")</f>
        <v>332</v>
      </c>
      <c r="BD12" s="136">
        <f t="shared" si="2"/>
        <v>1.2680776014109347</v>
      </c>
      <c r="BE12" s="137">
        <f t="shared" si="3"/>
        <v>1.6244784422809457</v>
      </c>
      <c r="BF12" s="137">
        <f t="shared" si="4"/>
        <v>0.46175243393602228</v>
      </c>
      <c r="BG12" s="209">
        <f t="shared" si="5"/>
        <v>2.5201668984700976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1044</v>
      </c>
      <c r="J14" s="197">
        <f t="shared" si="7"/>
        <v>363</v>
      </c>
      <c r="K14" s="197">
        <f t="shared" si="7"/>
        <v>390</v>
      </c>
      <c r="L14" s="197">
        <f t="shared" si="7"/>
        <v>1017</v>
      </c>
      <c r="M14" s="197">
        <f t="shared" si="7"/>
        <v>105</v>
      </c>
      <c r="N14" s="197">
        <f t="shared" si="7"/>
        <v>198</v>
      </c>
      <c r="O14" s="197">
        <f t="shared" si="7"/>
        <v>136</v>
      </c>
      <c r="P14" s="197">
        <f t="shared" si="7"/>
        <v>95</v>
      </c>
      <c r="Q14" s="197">
        <f t="shared" si="7"/>
        <v>200</v>
      </c>
      <c r="R14" s="197">
        <f t="shared" si="7"/>
        <v>2686</v>
      </c>
      <c r="S14" s="197">
        <f t="shared" si="7"/>
        <v>1190</v>
      </c>
      <c r="T14" s="197">
        <f t="shared" si="7"/>
        <v>525</v>
      </c>
      <c r="U14" s="197">
        <f t="shared" si="7"/>
        <v>669</v>
      </c>
      <c r="V14" s="197">
        <f t="shared" si="7"/>
        <v>1121</v>
      </c>
      <c r="W14" s="197">
        <f t="shared" si="7"/>
        <v>109</v>
      </c>
      <c r="X14" s="197">
        <f t="shared" si="7"/>
        <v>332</v>
      </c>
      <c r="Y14" s="197">
        <f t="shared" si="7"/>
        <v>54</v>
      </c>
      <c r="Z14" s="197">
        <f t="shared" si="7"/>
        <v>42</v>
      </c>
      <c r="AA14" s="197">
        <f t="shared" si="7"/>
        <v>64</v>
      </c>
      <c r="AB14" s="197">
        <f t="shared" si="7"/>
        <v>32</v>
      </c>
      <c r="AC14" s="197">
        <f t="shared" si="7"/>
        <v>0</v>
      </c>
      <c r="AD14" s="197">
        <f t="shared" si="7"/>
        <v>0</v>
      </c>
      <c r="AE14" s="197">
        <f t="shared" si="7"/>
        <v>0</v>
      </c>
      <c r="AF14" s="197">
        <f>SUBTOTAL(9,AF9:AF13)</f>
        <v>0</v>
      </c>
      <c r="AG14" s="197">
        <f t="shared" ref="AG14:AT14" si="8">SUBTOTAL(9,AG8:AG13)</f>
        <v>91</v>
      </c>
      <c r="AH14" s="197">
        <f t="shared" si="8"/>
        <v>51</v>
      </c>
      <c r="AI14" s="197">
        <f t="shared" si="8"/>
        <v>56</v>
      </c>
      <c r="AJ14" s="197">
        <f t="shared" si="8"/>
        <v>86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1281</v>
      </c>
      <c r="AZ14" s="197">
        <f>SUBTOTAL(9,AZ8:AZ13)</f>
        <v>576</v>
      </c>
      <c r="BA14" s="197">
        <f>SUBTOTAL(9,BA8:BA13)</f>
        <v>725</v>
      </c>
      <c r="BB14" s="197">
        <f>SUBTOTAL(9,BB8:BB13)</f>
        <v>1207</v>
      </c>
      <c r="BC14" s="197">
        <f>SUBTOTAL(9,BC8:BC13)</f>
        <v>338</v>
      </c>
      <c r="BD14" s="219">
        <f>IF(ISNUMBER(BA14/AZ14),BA14/AZ14," - ")</f>
        <v>1.2586805555555556</v>
      </c>
      <c r="BE14" s="220">
        <f>IF(ISNUMBER(BB14/BA14),BB14/BA14, " - ")</f>
        <v>1.6648275862068966</v>
      </c>
      <c r="BF14" s="220">
        <f>IF(ISNUMBER(BC14/BA14),BC14/BA14, " - ")</f>
        <v>0.46620689655172415</v>
      </c>
      <c r="BG14" s="221">
        <f>IF(ISNUMBER((AY14+AZ14)/BA14),(AY14+AZ14)/BA14," - ")</f>
        <v>2.5613793103448277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597</v>
      </c>
      <c r="J17" s="196">
        <v>419</v>
      </c>
      <c r="K17" s="196">
        <v>432</v>
      </c>
      <c r="L17" s="196">
        <v>584</v>
      </c>
      <c r="M17" s="196">
        <v>74</v>
      </c>
      <c r="N17" s="196">
        <v>257</v>
      </c>
      <c r="O17" s="194">
        <v>0</v>
      </c>
      <c r="P17" s="196">
        <v>7</v>
      </c>
      <c r="Q17" s="196">
        <v>1</v>
      </c>
      <c r="R17" s="196">
        <v>70</v>
      </c>
      <c r="S17" s="196">
        <v>700</v>
      </c>
      <c r="T17" s="196">
        <v>804</v>
      </c>
      <c r="U17" s="196">
        <v>814</v>
      </c>
      <c r="V17" s="196">
        <v>695</v>
      </c>
      <c r="W17" s="196">
        <v>90</v>
      </c>
      <c r="X17" s="202">
        <v>587</v>
      </c>
      <c r="Y17" s="215">
        <v>0</v>
      </c>
      <c r="Z17" s="196">
        <v>0</v>
      </c>
      <c r="AA17" s="196">
        <v>0</v>
      </c>
      <c r="AB17" s="196">
        <v>0</v>
      </c>
      <c r="AC17" s="196">
        <v>0</v>
      </c>
      <c r="AD17" s="196">
        <v>1</v>
      </c>
      <c r="AE17" s="196">
        <v>1</v>
      </c>
      <c r="AF17" s="202">
        <v>0</v>
      </c>
      <c r="AG17" s="215">
        <v>0</v>
      </c>
      <c r="AH17" s="196">
        <v>0</v>
      </c>
      <c r="AI17" s="196">
        <v>0</v>
      </c>
      <c r="AJ17" s="216">
        <v>0</v>
      </c>
      <c r="AK17" s="195">
        <v>4</v>
      </c>
      <c r="AL17" s="196">
        <v>4</v>
      </c>
      <c r="AM17" s="196">
        <v>8</v>
      </c>
      <c r="AN17" s="202">
        <v>0</v>
      </c>
      <c r="AO17" s="283">
        <v>3</v>
      </c>
      <c r="AP17" s="168">
        <v>3</v>
      </c>
      <c r="AQ17" s="168">
        <v>3</v>
      </c>
      <c r="AR17" s="168">
        <v>3</v>
      </c>
      <c r="AS17" s="381" t="s">
        <v>650</v>
      </c>
      <c r="AT17" s="216"/>
      <c r="AU17" s="215"/>
      <c r="AV17" s="216"/>
      <c r="AW17" s="215"/>
      <c r="AX17" s="216"/>
      <c r="AY17" s="136">
        <f t="shared" si="10"/>
        <v>700</v>
      </c>
      <c r="AZ17" s="137">
        <f t="shared" si="10"/>
        <v>804</v>
      </c>
      <c r="BA17" s="137">
        <f t="shared" si="10"/>
        <v>814</v>
      </c>
      <c r="BB17" s="137">
        <f t="shared" si="10"/>
        <v>695</v>
      </c>
      <c r="BC17" s="135">
        <f>IF(ISNUMBER(W17),W17," - ")</f>
        <v>90</v>
      </c>
      <c r="BD17" s="136">
        <f t="shared" ref="BD17:BD22" si="12">IF(ISNUMBER(BA17/AZ17),BA17/AZ17," - ")</f>
        <v>1.0124378109452736</v>
      </c>
      <c r="BE17" s="137">
        <f t="shared" ref="BE17:BE22" si="13">IF(ISNUMBER(BB17/BA17),BB17/BA17, " - ")</f>
        <v>0.85380835380835385</v>
      </c>
      <c r="BF17" s="137">
        <f t="shared" ref="BF17:BF22" si="14">IF(ISNUMBER(BC17/BA17),BC17/BA17, " - ")</f>
        <v>0.11056511056511056</v>
      </c>
      <c r="BG17" s="209">
        <f t="shared" si="11"/>
        <v>1.8476658476658476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v>
      </c>
      <c r="J18" s="196">
        <v>73</v>
      </c>
      <c r="K18" s="196">
        <v>77</v>
      </c>
      <c r="L18" s="196">
        <v>28</v>
      </c>
      <c r="M18" s="196">
        <v>10</v>
      </c>
      <c r="N18" s="196">
        <v>34</v>
      </c>
      <c r="O18" s="196">
        <v>0</v>
      </c>
      <c r="P18" s="196">
        <v>1</v>
      </c>
      <c r="Q18" s="196">
        <v>1</v>
      </c>
      <c r="R18" s="196">
        <v>0</v>
      </c>
      <c r="S18" s="196">
        <v>59</v>
      </c>
      <c r="T18" s="196">
        <v>56</v>
      </c>
      <c r="U18" s="196">
        <v>46</v>
      </c>
      <c r="V18" s="196">
        <v>69</v>
      </c>
      <c r="W18" s="196">
        <v>10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59</v>
      </c>
      <c r="AZ18" s="139">
        <f t="shared" si="15"/>
        <v>56</v>
      </c>
      <c r="BA18" s="139">
        <f t="shared" si="15"/>
        <v>46</v>
      </c>
      <c r="BB18" s="139">
        <f t="shared" si="15"/>
        <v>69</v>
      </c>
      <c r="BC18" s="135">
        <f>IF(ISNUMBER(W18),W18," - ")</f>
        <v>10</v>
      </c>
      <c r="BD18" s="136">
        <f>IF(ISNUMBER(BA18/AZ18),BA18/AZ18," - ")</f>
        <v>0.8214285714285714</v>
      </c>
      <c r="BE18" s="137">
        <f>IF(ISNUMBER(BB18/BA18),BB18/BA18, " - ")</f>
        <v>1.5</v>
      </c>
      <c r="BF18" s="137">
        <f>IF(ISNUMBER(BC18/BA18),BC18/BA18, " - ")</f>
        <v>0.21739130434782608</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629</v>
      </c>
      <c r="J23" s="197">
        <f t="shared" si="21"/>
        <v>492</v>
      </c>
      <c r="K23" s="197">
        <f t="shared" si="21"/>
        <v>509</v>
      </c>
      <c r="L23" s="197">
        <f t="shared" si="21"/>
        <v>612</v>
      </c>
      <c r="M23" s="197">
        <f t="shared" si="21"/>
        <v>84</v>
      </c>
      <c r="N23" s="197">
        <f t="shared" si="21"/>
        <v>291</v>
      </c>
      <c r="O23" s="197">
        <f t="shared" si="21"/>
        <v>0</v>
      </c>
      <c r="P23" s="197">
        <f t="shared" si="21"/>
        <v>8</v>
      </c>
      <c r="Q23" s="197">
        <f t="shared" si="21"/>
        <v>2</v>
      </c>
      <c r="R23" s="197">
        <f t="shared" si="21"/>
        <v>70</v>
      </c>
      <c r="S23" s="197">
        <f t="shared" si="21"/>
        <v>759</v>
      </c>
      <c r="T23" s="197">
        <f t="shared" si="21"/>
        <v>860</v>
      </c>
      <c r="U23" s="197">
        <f t="shared" si="21"/>
        <v>860</v>
      </c>
      <c r="V23" s="197">
        <f t="shared" si="21"/>
        <v>764</v>
      </c>
      <c r="W23" s="197">
        <f t="shared" si="21"/>
        <v>100</v>
      </c>
      <c r="X23" s="197">
        <f t="shared" si="21"/>
        <v>596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4</v>
      </c>
      <c r="AL23" s="197">
        <f t="shared" si="21"/>
        <v>4</v>
      </c>
      <c r="AM23" s="197">
        <f t="shared" si="21"/>
        <v>8</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759</v>
      </c>
      <c r="AZ23" s="197">
        <f>SUBTOTAL(9,AZ15:AZ22)</f>
        <v>860</v>
      </c>
      <c r="BA23" s="197">
        <f>SUBTOTAL(9,BA15:BA22)</f>
        <v>860</v>
      </c>
      <c r="BB23" s="197">
        <f>SUBTOTAL(9,BB15:BB22)</f>
        <v>764</v>
      </c>
      <c r="BC23" s="197">
        <f>SUBTOTAL(9,BC15:BC22)</f>
        <v>100</v>
      </c>
      <c r="BD23" s="219">
        <f>IF(ISNUMBER(BA23/AZ23),BA23/AZ23," - ")</f>
        <v>1</v>
      </c>
      <c r="BE23" s="220">
        <f>IF(ISNUMBER(BB23/BA23),BB23/BA23, " - ")</f>
        <v>0.88837209302325582</v>
      </c>
      <c r="BF23" s="220">
        <f>IF(ISNUMBER(BC23/BA23),BC23/BA23, " - ")</f>
        <v>0.11627906976744186</v>
      </c>
      <c r="BG23" s="221">
        <f>IF(ISNUMBER((AY23+AZ23)/BA23),(AY23+AZ23)/BA23," - ")</f>
        <v>1.8825581395348838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1673</v>
      </c>
      <c r="J31" s="144">
        <f t="shared" si="36"/>
        <v>855</v>
      </c>
      <c r="K31" s="144">
        <f t="shared" si="36"/>
        <v>899</v>
      </c>
      <c r="L31" s="144">
        <f t="shared" si="36"/>
        <v>1629</v>
      </c>
      <c r="M31" s="144">
        <f t="shared" si="36"/>
        <v>189</v>
      </c>
      <c r="N31" s="144">
        <f t="shared" si="36"/>
        <v>489</v>
      </c>
      <c r="O31" s="144">
        <f t="shared" si="36"/>
        <v>136</v>
      </c>
      <c r="P31" s="144">
        <f t="shared" si="36"/>
        <v>103</v>
      </c>
      <c r="Q31" s="144">
        <f t="shared" si="36"/>
        <v>202</v>
      </c>
      <c r="R31" s="144">
        <f t="shared" si="36"/>
        <v>2756</v>
      </c>
      <c r="S31" s="144">
        <f t="shared" si="36"/>
        <v>1949</v>
      </c>
      <c r="T31" s="144">
        <f t="shared" si="36"/>
        <v>1385</v>
      </c>
      <c r="U31" s="144">
        <f t="shared" si="36"/>
        <v>1529</v>
      </c>
      <c r="V31" s="144">
        <f t="shared" si="36"/>
        <v>1885</v>
      </c>
      <c r="W31" s="144">
        <f t="shared" si="36"/>
        <v>209</v>
      </c>
      <c r="X31" s="144">
        <f t="shared" si="36"/>
        <v>928</v>
      </c>
      <c r="Y31" s="144">
        <f t="shared" si="36"/>
        <v>54</v>
      </c>
      <c r="Z31" s="144">
        <f t="shared" si="36"/>
        <v>42</v>
      </c>
      <c r="AA31" s="144">
        <f t="shared" si="36"/>
        <v>64</v>
      </c>
      <c r="AB31" s="144">
        <f t="shared" si="36"/>
        <v>32</v>
      </c>
      <c r="AC31" s="144">
        <f t="shared" si="36"/>
        <v>0</v>
      </c>
      <c r="AD31" s="144">
        <f t="shared" si="36"/>
        <v>1</v>
      </c>
      <c r="AE31" s="144">
        <f t="shared" si="36"/>
        <v>1</v>
      </c>
      <c r="AF31" s="144">
        <f t="shared" si="36"/>
        <v>0</v>
      </c>
      <c r="AG31" s="144">
        <f t="shared" si="36"/>
        <v>91</v>
      </c>
      <c r="AH31" s="144">
        <f t="shared" si="36"/>
        <v>51</v>
      </c>
      <c r="AI31" s="144">
        <f t="shared" si="36"/>
        <v>56</v>
      </c>
      <c r="AJ31" s="144">
        <f t="shared" si="36"/>
        <v>86</v>
      </c>
      <c r="AK31" s="144">
        <f t="shared" si="36"/>
        <v>4</v>
      </c>
      <c r="AL31" s="144">
        <f t="shared" si="36"/>
        <v>4</v>
      </c>
      <c r="AM31" s="144">
        <f t="shared" si="36"/>
        <v>8</v>
      </c>
      <c r="AN31" s="224">
        <f t="shared" si="36"/>
        <v>0</v>
      </c>
      <c r="AO31" s="225">
        <v>4</v>
      </c>
      <c r="AP31" s="225">
        <v>3</v>
      </c>
      <c r="AQ31" s="225">
        <v>3</v>
      </c>
      <c r="AR31" s="225">
        <v>3</v>
      </c>
      <c r="AS31" s="166">
        <f t="shared" si="36"/>
        <v>0</v>
      </c>
      <c r="AT31" s="166">
        <f t="shared" si="36"/>
        <v>0</v>
      </c>
      <c r="AU31" s="225"/>
      <c r="AV31" s="226"/>
      <c r="AW31" s="225"/>
      <c r="AX31" s="226"/>
      <c r="AY31" s="143">
        <f>SUBTOTAL(9,AY9:AY30)</f>
        <v>2040</v>
      </c>
      <c r="AZ31" s="144">
        <f>SUBTOTAL(9,AZ9:AZ30)</f>
        <v>1436</v>
      </c>
      <c r="BA31" s="144">
        <f>SUBTOTAL(9,BA9:BA30)</f>
        <v>1585</v>
      </c>
      <c r="BB31" s="144">
        <f>SUBTOTAL(9,BB9:BB30)</f>
        <v>1971</v>
      </c>
      <c r="BC31" s="145">
        <f>SUBTOTAL(9,BC9:BC30)</f>
        <v>438</v>
      </c>
      <c r="BD31" s="227">
        <f>IF(ISNUMBER(BA31/AZ31),BA31/AZ31," - ")</f>
        <v>1.1037604456824512</v>
      </c>
      <c r="BE31" s="224">
        <f>IF(ISNUMBER(BB31/BA31),BB31/BA31, " - ")</f>
        <v>1.2435331230283913</v>
      </c>
      <c r="BF31" s="224">
        <f>IF(ISNUMBER(BC31/BA31),BC31/BA31, " - ")</f>
        <v>0.27634069400630917</v>
      </c>
      <c r="BG31" s="145">
        <f>IF(ISNUMBER((AY31+AZ31)/BA31),(AY31+AZ31)/BA31," - ")</f>
        <v>2.1930599369085173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yQX+FizIhI4ZRBkvpoRQWMHdkxdP6uRnc/qlLRgITIAf7QeNDq9+wlGU6Mt6crojTtYgj5BWYjE+3Wkr2Bv5A==" saltValue="bW0zoL9LSUfJ5EVjLNnQ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MBunA+61mzkg5nT3muzw9xQGhR39RBx297N6u/DhEItq5yRUm+3tK1mp2199yRHyJdjlP+OpdOWApFcrZAmew==" saltValue="FqLLIK7dlGIQ3MWDNIaW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HUERCAL-OVERA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47</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0</v>
      </c>
      <c r="AD10" s="549"/>
      <c r="AE10" s="563"/>
      <c r="AF10" s="551">
        <f>IF(ISNUMBER(Datos!L10),Datos!L10,"-")</f>
        <v>35</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4</v>
      </c>
      <c r="BE10" s="693" t="str">
        <f>IF(ISNUMBER(Datos!BW10),Datos!BW10," - ")</f>
        <v xml:space="preserve"> - </v>
      </c>
      <c r="BF10" s="762" t="str">
        <f>IF(ISNUMBER(Datos!BX10),Datos!BX10," - ")</f>
        <v xml:space="preserve"> - </v>
      </c>
      <c r="BG10" s="763">
        <f>IF(ISNUMBER(Datos!K10/Datos!J10),Datos!K10/Datos!J10," - ")</f>
        <v>2.7142857142857144</v>
      </c>
      <c r="BH10" s="764">
        <f>IF(ISNUMBER(((Datos!L10/Datos!K10)*11)/factor_trimestre),((Datos!L10/Datos!K10)*11)/factor_trimestre," - ")</f>
        <v>5.526315789473685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2679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1.0929648241206029</v>
      </c>
      <c r="BH12" s="764">
        <f>IF(ISNUMBER(((IF(J_V="SI",Datos!L12/Datos!K12,(Datos!L12+Datos!AB12)/(Datos!K12+Datos!AA12)))*11)/factor_trimestre),((IF(J_V="SI",Datos!L12/Datos!K12,(Datos!L12+Datos!AB12)/(Datos!K12+Datos!AA12)))*11)/factor_trimestre," - ")</f>
        <v>6.9931034482758632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-3.7715517241379309E-2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47</v>
      </c>
      <c r="G14" s="1197">
        <f t="shared" si="1"/>
        <v>47</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200</v>
      </c>
      <c r="AD14" s="1198">
        <f t="shared" si="2"/>
        <v>0</v>
      </c>
      <c r="AE14" s="1198">
        <f t="shared" si="2"/>
        <v>0</v>
      </c>
      <c r="AF14" s="1198">
        <f t="shared" si="2"/>
        <v>35</v>
      </c>
      <c r="AG14" s="1198">
        <f t="shared" si="2"/>
        <v>0</v>
      </c>
      <c r="AH14" s="1198">
        <f t="shared" si="2"/>
        <v>32</v>
      </c>
      <c r="AI14" s="1198">
        <f t="shared" si="2"/>
        <v>0</v>
      </c>
      <c r="AJ14" s="1198">
        <f t="shared" si="2"/>
        <v>0</v>
      </c>
      <c r="AK14" s="1198">
        <f t="shared" si="2"/>
        <v>0</v>
      </c>
      <c r="AL14" s="1198">
        <f t="shared" si="2"/>
        <v>0</v>
      </c>
      <c r="AM14" s="1198">
        <f t="shared" si="2"/>
        <v>2686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105</v>
      </c>
      <c r="BD14" s="1198">
        <f t="shared" si="2"/>
        <v>198</v>
      </c>
      <c r="BE14" s="1198">
        <f t="shared" si="2"/>
        <v>0</v>
      </c>
      <c r="BF14" s="1198">
        <f t="shared" si="2"/>
        <v>0</v>
      </c>
      <c r="BG14" s="1198">
        <f>IF(ISNUMBER(Datos!K14/Datos!J14),Datos!K14/Datos!J14," - ")</f>
        <v>1.0743801652892562</v>
      </c>
      <c r="BH14" s="1202">
        <f>IF(ISNUMBER(((Datos!L14/Datos!K14)*11)/factor_trimestre),((Datos!L14/Datos!K14)*11)/factor_trimestre," - ")</f>
        <v>7.8230769230769228</v>
      </c>
      <c r="BI14" s="1198">
        <f>IF(ISNUMBER('Resol  Asuntos'!D14/NºAsuntos!G14),'Resol  Asuntos'!D14/NºAsuntos!G14," - ")</f>
        <v>0.23127753303964757</v>
      </c>
      <c r="BJ14" s="1198" t="str">
        <f>IF(ISNUMBER(Datos!CI14/Datos!CJ14),Datos!CI14/Datos!CJ14," - ")</f>
        <v xml:space="preserve"> - </v>
      </c>
      <c r="BK14" s="1198">
        <f>SUBTOTAL(9,BK8:BK13)</f>
        <v>0</v>
      </c>
      <c r="BL14" s="1198">
        <f>IF(ISNUMBER((I14-AB14+L14)/(F14)),(I14-AB14+L14)/(F14)," - ")</f>
        <v>-0.40425531914893614</v>
      </c>
      <c r="BM14" s="1203">
        <f>SUBTOTAL(9,BM9:BM13)</f>
        <v>-3.7715517241379309E-2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597</v>
      </c>
      <c r="G17" s="743">
        <f>IF(ISNUMBER(IF(D_I="SI",Datos!I17,Datos!I17+Datos!AC17)),IF(D_I="SI",Datos!I17,Datos!I17+Datos!AC17)," - ")</f>
        <v>597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432</v>
      </c>
      <c r="AC17" s="240">
        <f>IF(ISNUMBER(Datos!Q17),Datos!Q17," - ")</f>
        <v>1</v>
      </c>
      <c r="AD17" s="374"/>
      <c r="AE17" s="562"/>
      <c r="AF17" s="741">
        <f>IF(ISNUMBER(IF(D_I="SI",Datos!L17,Datos!L17+Datos!AF17)),IF(D_I="SI",Datos!L17,Datos!L17+Datos!AF17)," - ")</f>
        <v>584</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74</v>
      </c>
      <c r="BD17" s="243">
        <f>IF(ISNUMBER(Datos!N17),Datos!N17," - ")</f>
        <v>257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1.0310262529832936</v>
      </c>
      <c r="BH17" s="764">
        <f>IF(ISNUMBER(((IF(D_I="SI",Datos!L17/Datos!K17,(Datos!L17+Datos!AF17)/(Datos!K17+Datos!AE17)))*11)/factor_trimestre),((IF(D_I="SI",Datos!L17/Datos!K17,(Datos!L17+Datos!AF17)/(Datos!K17+Datos!AE17)))*11)/factor_trimestre," - ")</f>
        <v>4.0555555555555554</v>
      </c>
      <c r="BI17" s="266">
        <f>IF(ISNUMBER('Resol  Asuntos'!D17/NºAsuntos!G17),'Resol  Asuntos'!D17/NºAsuntos!G17," - ")</f>
        <v>0.17129629629629631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1</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1.0547945205479452</v>
      </c>
      <c r="BH18" s="764">
        <f>IF(ISNUMBER(((IF(D_I="SI",Datos!L18/Datos!K18,(Datos!L18+Datos!AF18)/(Datos!K18+Datos!AE18)))*11)/factor_trimestre),((IF(D_I="SI",Datos!L18/Datos!K18,(Datos!L18+Datos!AF18)/(Datos!K18+Datos!AE18)))*11)/factor_trimestre," - ")</f>
        <v>1.0909090909090911</v>
      </c>
      <c r="BI18" s="763">
        <f>IF(ISNUMBER('Resol  Asuntos'!D18/NºAsuntos!G18),'Resol  Asuntos'!D18/NºAsuntos!G18," - ")</f>
        <v>0.12987012987012986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597</v>
      </c>
      <c r="G23" s="1197">
        <f>SUBTOTAL(9,G16:G22)</f>
        <v>629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509</v>
      </c>
      <c r="AC23" s="1198">
        <f t="shared" si="5"/>
        <v>2</v>
      </c>
      <c r="AD23" s="1198">
        <f t="shared" si="5"/>
        <v>0</v>
      </c>
      <c r="AE23" s="1198">
        <f t="shared" si="5"/>
        <v>0</v>
      </c>
      <c r="AF23" s="1198">
        <f t="shared" si="5"/>
        <v>612</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84</v>
      </c>
      <c r="BD23" s="1198">
        <f t="shared" si="5"/>
        <v>291</v>
      </c>
      <c r="BE23" s="1198">
        <f t="shared" si="5"/>
        <v>0</v>
      </c>
      <c r="BF23" s="1198">
        <f t="shared" si="5"/>
        <v>0</v>
      </c>
      <c r="BG23" s="1198">
        <f>IF(ISNUMBER(Datos!K23/Datos!J23),Datos!K23/Datos!J23," - ")</f>
        <v>1.0345528455284554</v>
      </c>
      <c r="BH23" s="1202">
        <f>IF(ISNUMBER(((Datos!L23/Datos!K23)*11)/factor_trimestre),((Datos!L23/Datos!K23)*11)/factor_trimestre," - ")</f>
        <v>3.6070726915520628</v>
      </c>
      <c r="BI23" s="1198">
        <f>SUBTOTAL(9,BI16:BI22)</f>
        <v>0.30116642616642619</v>
      </c>
      <c r="BJ23" s="1198">
        <f>SUBTOTAL(9,BJ16:BJ22)</f>
        <v>0</v>
      </c>
      <c r="BK23" s="1198">
        <f>SUBTOTAL(9,BK16:BK22)</f>
        <v>0</v>
      </c>
      <c r="BL23" s="1198">
        <f>IF(ISNUMBER((I23-AB23+L23)/(F23)),(I23-AB23+L23)/(F23)," - ")</f>
        <v>-0.85259631490787269</v>
      </c>
      <c r="BM23" s="1205">
        <f>IF(ISNUMBER((Datos!P23-Datos!Q23)/(Datos!R23-Datos!P23+Datos!Q23)),(Datos!P23-Datos!Q23)/(Datos!R23-Datos!P23+Datos!Q23)," - ")</f>
        <v>9.375E-2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644</v>
      </c>
      <c r="G31" s="1117">
        <f t="shared" si="18"/>
        <v>676</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528</v>
      </c>
      <c r="AC31" s="1118">
        <f t="shared" si="19"/>
        <v>202</v>
      </c>
      <c r="AD31" s="1118">
        <f t="shared" si="19"/>
        <v>0</v>
      </c>
      <c r="AE31" s="1118">
        <f t="shared" si="19"/>
        <v>0</v>
      </c>
      <c r="AF31" s="1125">
        <f t="shared" si="19"/>
        <v>647</v>
      </c>
      <c r="AG31" s="1125">
        <f t="shared" si="19"/>
        <v>0</v>
      </c>
      <c r="AH31" s="1125">
        <f t="shared" si="19"/>
        <v>32</v>
      </c>
      <c r="AI31" s="1125">
        <f t="shared" si="19"/>
        <v>0</v>
      </c>
      <c r="AJ31" s="1118">
        <f t="shared" si="19"/>
        <v>0</v>
      </c>
      <c r="AK31" s="1125">
        <f t="shared" si="19"/>
        <v>0</v>
      </c>
      <c r="AL31" s="1125">
        <f t="shared" si="19"/>
        <v>0</v>
      </c>
      <c r="AM31" s="1125">
        <f t="shared" si="19"/>
        <v>2756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189</v>
      </c>
      <c r="BD31" s="1117">
        <f t="shared" si="19"/>
        <v>489</v>
      </c>
      <c r="BE31" s="1117">
        <f t="shared" si="19"/>
        <v>0</v>
      </c>
      <c r="BF31" s="1127">
        <f t="shared" si="19"/>
        <v>0</v>
      </c>
      <c r="BG31" s="1223">
        <f>IF(ISNUMBER(Datos!K31/Datos!J31),Datos!K31/Datos!J31," - ")</f>
        <v>1.0514619883040937</v>
      </c>
      <c r="BH31" s="1223">
        <f>IF(ISNUMBER(((Datos!L31/Datos!K31)*11)/factor_trimestre),((Datos!L31/Datos!K31)*11)/factor_trimestre," - ")</f>
        <v>5.4360400444938826</v>
      </c>
      <c r="BI31" s="1103">
        <f>IF(ISNUMBER(Datos!J31/Datos!I31),Datos!J31/Datos!I31," - ")</f>
        <v>0.51105797967722655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-0.81987577639751552</v>
      </c>
      <c r="BM31" s="1188">
        <f>IF(ISNUMBER((Datos!P31-Datos!Q31+R31)/(Datos!R31-Datos!P31+Datos!Q31-R31)),(Datos!P31-Datos!Q31+R31)/(Datos!R31-Datos!P31+Datos!Q31-R31)," - ")</f>
        <v>-3.4676007005253938E-2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296.89908498792425</v>
      </c>
      <c r="G33" s="674">
        <f>IF(ISNUMBER(STDEV(G8:G30)),STDEV(G8:G30),"-")</f>
        <v>287.62326550045088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221.00183149424242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45.909071621443807</v>
      </c>
      <c r="BD33" s="673"/>
      <c r="BE33" s="673">
        <f>IF(ISNUMBER(STDEV(BE8:BE30)),STDEV(BE8:BE30),"-")</f>
        <v>0</v>
      </c>
      <c r="BF33" s="678">
        <f>IF(ISNUMBER(STDEV(BF8:BF30)),STDEV(BF8:BF30),"-")</f>
        <v>0</v>
      </c>
      <c r="BG33" s="1052">
        <f>IF(ISNUMBER(STDEV(BG8:BG30)),STDEV(BG8:BG30),"-")</f>
        <v>0.67677260484127466</v>
      </c>
      <c r="BH33" s="1058">
        <f>IF(ISNUMBER(STDEV(BH8:BH30)),STDEV(BH8:BH30),"-")</f>
        <v>2.4574887156465826</v>
      </c>
      <c r="BI33" s="273">
        <f>IF(ISNUMBER(STDEV(BI8:BI30)),STDEV(BI8:BI30),"-")</f>
        <v>7.4548902620704183E-2</v>
      </c>
      <c r="BJ33" s="244" t="str">
        <f>IF(ISNUMBER(BL33/BM33),BL33/BM33," - ")</f>
        <v xml:space="preserve"> - </v>
      </c>
      <c r="BK33" s="709"/>
      <c r="BL33" s="681">
        <f>IF(ISNUMBER(STDEV(BL8:BL30)),STDEV(BL8:BL30),"-")</f>
        <v>0.31702495838507316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FZjPscOcXJv2sIOGz93MF62zeEIqAW94FloVo3Ea3P21+tb1VNndWykJWASiqkooGd9I7sfbTUjSreUV4spAw==" saltValue="Uj3QiV1+qBb1e++gYuhe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HUERCAL-OVERA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47</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0</v>
      </c>
      <c r="AA10" s="551">
        <f>IF(ISNUMBER(Datos!L10),Datos!L10,"-")</f>
        <v>35</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11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5.526315789473685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200</v>
      </c>
      <c r="AA12" s="551" t="str">
        <f>IF(ISNUMBER(IF(J_V="SI",Datos!L12,Datos!L12+Datos!AB12)-IF(Monitorios="SI",Datos!CD12,0)),
                          IF(J_V="SI",Datos!L12,Datos!L12+Datos!AB12)-IF(Monitorios="SI",Datos!CD12,0),
                          " - ")</f>
        <v xml:space="preserve"> - </v>
      </c>
      <c r="AB12" s="549"/>
      <c r="AC12" s="549"/>
      <c r="AD12" s="563"/>
      <c r="AE12" s="563">
        <f>IF(ISNUMBER(Datos!R12),Datos!R12," - ")</f>
        <v>2679</v>
      </c>
      <c r="AF12" s="693" t="str">
        <f>IF(ISNUMBER(Datos!BV12),Datos!BV12," - ")</f>
        <v xml:space="preserve"> - </v>
      </c>
      <c r="AG12" s="552" t="str">
        <f>IF(ISNUMBER(Datos!DV12),Datos!DV12," - ")</f>
        <v xml:space="preserve"> - </v>
      </c>
      <c r="AH12" s="553"/>
      <c r="AI12" s="554"/>
      <c r="AJ12" s="552">
        <f>IF(ISNUMBER(Datos!M12),Datos!M12," - ")</f>
        <v>94</v>
      </c>
      <c r="AK12" s="693">
        <f>IF(ISNUMBER(Datos!N12),Datos!N12," - ")</f>
        <v>194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6.9931034482758632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-3.7715517241379309E-2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47</v>
      </c>
      <c r="G14" s="1197">
        <f>SUBTOTAL(9,G8:G13)</f>
        <v>47</v>
      </c>
      <c r="H14" s="1211"/>
      <c r="I14" s="1197">
        <f t="shared" ref="I14:N14" si="1">SUBTOTAL(9,I8:I13)</f>
        <v>0</v>
      </c>
      <c r="J14" s="1164">
        <f t="shared" si="1"/>
        <v>0</v>
      </c>
      <c r="K14" s="1211">
        <f t="shared" si="1"/>
        <v>0</v>
      </c>
      <c r="L14" s="1211">
        <f t="shared" si="1"/>
        <v>0</v>
      </c>
      <c r="M14" s="1211">
        <f t="shared" si="1"/>
        <v>0</v>
      </c>
      <c r="N14" s="1211">
        <f t="shared" si="1"/>
        <v>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200</v>
      </c>
      <c r="AA14" s="1199">
        <f t="shared" si="3"/>
        <v>35</v>
      </c>
      <c r="AB14" s="1199">
        <f t="shared" si="3"/>
        <v>0</v>
      </c>
      <c r="AC14" s="1199">
        <f t="shared" si="3"/>
        <v>0</v>
      </c>
      <c r="AD14" s="1199">
        <f t="shared" si="3"/>
        <v>0</v>
      </c>
      <c r="AE14" s="1199">
        <f t="shared" si="3"/>
        <v>2686</v>
      </c>
      <c r="AF14" s="1211">
        <f t="shared" si="3"/>
        <v>0</v>
      </c>
      <c r="AG14" s="1211">
        <f t="shared" si="3"/>
        <v>0</v>
      </c>
      <c r="AH14" s="1211">
        <f t="shared" si="3"/>
        <v>0</v>
      </c>
      <c r="AI14" s="1211">
        <f t="shared" si="3"/>
        <v>0</v>
      </c>
      <c r="AJ14" s="1211">
        <f t="shared" si="3"/>
        <v>105</v>
      </c>
      <c r="AK14" s="1211">
        <f t="shared" si="3"/>
        <v>198</v>
      </c>
      <c r="AL14" s="1211">
        <f t="shared" si="3"/>
        <v>0</v>
      </c>
      <c r="AM14" s="1211">
        <f t="shared" si="3"/>
        <v>0</v>
      </c>
      <c r="AN14" s="1211">
        <f t="shared" si="3"/>
        <v>0</v>
      </c>
      <c r="AO14" s="1203">
        <f>IF(ISNUMBER(((NºAsuntos!I14/NºAsuntos!G14)*11)/factor_trimestre),((NºAsuntos!I14/NºAsuntos!G14)*11)/factor_trimestre," - ")</f>
        <v>6.9317180616740091</v>
      </c>
      <c r="AP14" s="1213" t="str">
        <f>IF(ISNUMBER(Datos!CI14/Datos!CJ14),Datos!CI14/Datos!CJ14," - ")</f>
        <v xml:space="preserve"> - </v>
      </c>
      <c r="AQ14" s="1236">
        <f t="shared" ref="AQ14:AV14" si="4">SUBTOTAL(9,AQ9:AQ13)</f>
        <v>0</v>
      </c>
      <c r="AR14" s="1236">
        <f t="shared" si="4"/>
        <v>-3.7715517241379309E-2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597</v>
      </c>
      <c r="G17" s="552">
        <f>IF(ISNUMBER(IF(D_I="SI",Datos!I17,Datos!I17+Datos!AC17)),IF(D_I="SI",Datos!I17,Datos!I17+Datos!AC17)," - ")</f>
        <v>597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432</v>
      </c>
      <c r="Z17" s="805">
        <f>IF(ISNUMBER(Datos!Q17),Datos!Q17," - ")</f>
        <v>1</v>
      </c>
      <c r="AA17" s="551">
        <f>IF(ISNUMBER(IF(D_I="SI",Datos!L17,Datos!L17+Datos!AF17)),IF(D_I="SI",Datos!L17,Datos!L17+Datos!AF17)," - ")</f>
        <v>584</v>
      </c>
      <c r="AB17" s="549"/>
      <c r="AC17" s="549"/>
      <c r="AD17" s="563"/>
      <c r="AE17" s="563">
        <f>IF(ISNUMBER(Datos!R17),Datos!R17," - ")</f>
        <v>70</v>
      </c>
      <c r="AF17" s="693" t="str">
        <f>IF(ISNUMBER(Datos!BV17),Datos!BV17," - ")</f>
        <v xml:space="preserve"> - </v>
      </c>
      <c r="AG17" s="552"/>
      <c r="AH17" s="553"/>
      <c r="AI17" s="554"/>
      <c r="AJ17" s="552">
        <f>IF(ISNUMBER(Datos!M17),Datos!M17," - ")</f>
        <v>74</v>
      </c>
      <c r="AK17" s="693">
        <f>IF(ISNUMBER(Datos!N17),Datos!N17," - ")</f>
        <v>257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4.0555555555555554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1</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1.0909090909090911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597</v>
      </c>
      <c r="G23" s="1197">
        <f>SUBTOTAL(9,G16:G22)</f>
        <v>629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509</v>
      </c>
      <c r="Z23" s="1240">
        <f t="shared" si="6"/>
        <v>2</v>
      </c>
      <c r="AA23" s="1240">
        <f t="shared" si="6"/>
        <v>612</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84</v>
      </c>
      <c r="AK23" s="1240">
        <f t="shared" si="6"/>
        <v>291</v>
      </c>
      <c r="AL23" s="1240">
        <f t="shared" si="6"/>
        <v>0</v>
      </c>
      <c r="AM23" s="1240">
        <f t="shared" si="6"/>
        <v>0</v>
      </c>
      <c r="AN23" s="1240">
        <f t="shared" si="6"/>
        <v>0</v>
      </c>
      <c r="AO23" s="1242">
        <f>IF(ISNUMBER(((NºAsuntos!I23/NºAsuntos!G23)*11)/factor_trimestre),((NºAsuntos!I23/NºAsuntos!G23)*11)/factor_trimestre," - ")</f>
        <v>3.6070726915520628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644</v>
      </c>
      <c r="G31" s="1117">
        <f t="shared" si="12"/>
        <v>676</v>
      </c>
      <c r="H31" s="1118">
        <f t="shared" si="12"/>
        <v>0</v>
      </c>
      <c r="I31" s="1117">
        <f t="shared" si="12"/>
        <v>0</v>
      </c>
      <c r="J31" s="1119">
        <f t="shared" si="12"/>
        <v>0</v>
      </c>
      <c r="K31" s="1117">
        <f t="shared" si="12"/>
        <v>0</v>
      </c>
      <c r="L31" s="1120">
        <f t="shared" si="12"/>
        <v>0</v>
      </c>
      <c r="M31" s="1117">
        <f t="shared" si="12"/>
        <v>0</v>
      </c>
      <c r="N31" s="1118">
        <f t="shared" si="12"/>
        <v>103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528</v>
      </c>
      <c r="Z31" s="1124">
        <f t="shared" si="13"/>
        <v>202</v>
      </c>
      <c r="AA31" s="1125">
        <f t="shared" si="13"/>
        <v>647</v>
      </c>
      <c r="AB31" s="1125">
        <f t="shared" si="13"/>
        <v>0</v>
      </c>
      <c r="AC31" s="1125">
        <f t="shared" si="13"/>
        <v>0</v>
      </c>
      <c r="AD31" s="1126">
        <f t="shared" si="13"/>
        <v>0</v>
      </c>
      <c r="AE31" s="1126">
        <f t="shared" si="13"/>
        <v>2756</v>
      </c>
      <c r="AF31" s="1127">
        <f t="shared" si="13"/>
        <v>0</v>
      </c>
      <c r="AG31" s="1128">
        <f t="shared" si="13"/>
        <v>0</v>
      </c>
      <c r="AH31" s="1129">
        <f t="shared" si="13"/>
        <v>0</v>
      </c>
      <c r="AI31" s="1127">
        <f t="shared" si="13"/>
        <v>0</v>
      </c>
      <c r="AJ31" s="1117">
        <f t="shared" si="13"/>
        <v>189</v>
      </c>
      <c r="AK31" s="1117">
        <f t="shared" si="13"/>
        <v>489</v>
      </c>
      <c r="AL31" s="1117">
        <f t="shared" si="13"/>
        <v>0</v>
      </c>
      <c r="AM31" s="1130">
        <f t="shared" si="13"/>
        <v>0</v>
      </c>
      <c r="AN31" s="1120">
        <f>IF(ISNUMBER(Datos!K31/Datos!J31),Datos!K31/Datos!J31," - ")</f>
        <v>1.0514619883040937</v>
      </c>
      <c r="AO31" s="1120">
        <f>IF(ISNUMBER(FIND("06",Criterios!A8,1)),(IF(ISNUMBER(((Datos!R31/Datos!Q31)*11)/factor_trimestre),((Datos!R31/Datos!Q31)*11)/factor_trimestre," - ")),(IF(ISNUMBER(((Datos!L31/Datos!K31)*11)/factor_trimestre),((Datos!L31/Datos!K31)*11)/factor_trimestre," - ")))</f>
        <v>5.4360400444938826</v>
      </c>
      <c r="AP31" s="1131" t="str">
        <f>IF(ISNUMBER(Datos!CI31/Datos!CJ31),Datos!CI31/Datos!CJ31," - ")</f>
        <v xml:space="preserve"> - </v>
      </c>
      <c r="AQ31" s="1131">
        <f>IF(OR(ISNUMBER(FIND("01",Criterios!A8,1)),ISNUMBER(FIND("02",Criterios!A8,1)),ISNUMBER(FIND("03",Criterios!A8,1)),ISNUMBER(FIND("04",Criterios!A8,1))),(J31-Y31+K31)/(F31-K31),(I31-Y31+K31)/(F31-K31))</f>
        <v>-0.81987577639751552</v>
      </c>
      <c r="AR31" s="1131">
        <f>IF(ISNUMBER((Datos!P31-Datos!Q31+O31)/(Datos!R31-Datos!P31+Datos!Q31-O31)),(Datos!P31-Datos!Q31+O31)/(Datos!R31-Datos!P31+Datos!Q31-O31)," - ")</f>
        <v>-3.4676007005253938E-2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296.89908498792425</v>
      </c>
      <c r="G33" s="674">
        <f>IF(ISNUMBER(STDEV(G8:G30)),STDEV(G8:G30),"-")</f>
        <v>287.62326550045088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45.909071621443807</v>
      </c>
      <c r="AK33" s="276"/>
      <c r="AL33" s="276">
        <f>IF(ISNUMBER(STDEV(AL8:AL30)),STDEV(AL8:AL30),"-")</f>
        <v>0</v>
      </c>
      <c r="AM33" s="278">
        <f>IF(ISNUMBER(STDEV(AM8:AM30)),STDEV(AM8:AM30),"-")</f>
        <v>0</v>
      </c>
      <c r="AN33" s="660">
        <f>IF(ISNUMBER(STDEV(AN8:AN30)),STDEV(AN8:AN30),"-")</f>
        <v>0</v>
      </c>
      <c r="AO33" s="661">
        <f>IF(ISNUMBER(STDEV(AO8:AO30)),STDEV(AO8:AO30),"-")</f>
        <v>2.2608413923493251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tsFMPSrOxiME/U02J2WRsh8KRdZIktxmBGeVOZbg4EAkwv5l5E68fQldAL3E+w/XDu7dA4iiWAtTW1LGmqobg==" saltValue="ecNgK62Ggri5IqxV6xKe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KmJNQMnrvvPRIsep0e/R9bY4q+A0bWbphAEJPPn1fDqfBd3M6FSdMfXaQYGH6jcUILMIDu3m0Gw8jjAWB6Qg==" saltValue="NPFg8vA6zx/Uc/RF6WDv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y0duzN+mHyQZPK4jBGacIRR1cBEol4udMj7Az3v68pKBbNz5A17nUfRttYzFsdlBOLwt+0hEqTrWJgC+MIJ4g==" saltValue="SDTP29J855vEObJ0zk0K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HUERCAL-OVERA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0.23127753303964757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0.16353791194843059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iU8w6kNOpBSaqKlqc4Ur2/oOCLlS/y0FEd6poGmIDgLE2lHXBsU6o9wx1O7hYGzslnbY1IYdk2/6ax5/rcBxg==" saltValue="6NU5BPNoWcWvCdRQlukq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Z3OqzrmC6pR+93XQwLogETSN2PS5gWQ1rFF+8u0sZ/ybEw+qV1N+m+cVDSdlTEdf27GlrF6nkYut6nGJlnPXw==" saltValue="FA9SC+VrV8i6irMvjg0P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HUERCAL-OVERA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7</v>
      </c>
      <c r="F10" s="452">
        <f>IF(ISNUMBER(E10/B10),E10/B10," - ")</f>
        <v>7</v>
      </c>
      <c r="G10" s="451">
        <f>IF(ISNUMBER(Datos!K10),Datos!K10," - ")</f>
        <v>19</v>
      </c>
      <c r="H10" s="452">
        <f>IF(ISNUMBER(G10/B10),G10/B10," - ")</f>
        <v>19</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1051</v>
      </c>
      <c r="D12" s="452">
        <f>IF(ISNUMBER(C12/Datos!BH12),C12/Datos!BH12," - ")</f>
        <v>350.33333333333331</v>
      </c>
      <c r="E12" s="451">
        <f>IF(ISNUMBER(IF(J_V="SI",Datos!J12,Datos!J12+Datos!Z12)),IF(J_V="SI",Datos!J12,Datos!J12+Datos!Z12)," - ")</f>
        <v>398</v>
      </c>
      <c r="F12" s="452">
        <f>IF(ISNUMBER(E12/B12),E12/B12," - ")</f>
        <v>132.66666666666666</v>
      </c>
      <c r="G12" s="451">
        <f>IF(ISNUMBER(IF(J_V="SI",Datos!K12,Datos!K12+Datos!AA12)),IF(J_V="SI",Datos!K12,Datos!K12+Datos!AA12)," - ")</f>
        <v>435</v>
      </c>
      <c r="H12" s="452">
        <f>IF(ISNUMBER(G12/B12),G12/B12," - ")</f>
        <v>145</v>
      </c>
      <c r="I12" s="451">
        <f>IF(ISNUMBER(IF(J_V="SI",Datos!L12,Datos!L12+Datos!AB12)),IF(J_V="SI",Datos!L12,Datos!L12+Datos!AB12)," - ")</f>
        <v>1014</v>
      </c>
      <c r="J12" s="452">
        <f>IF(ISNUMBER(I12/B12),I12/B12," - ")</f>
        <v>338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1098</v>
      </c>
      <c r="D14" s="1147" t="str">
        <f>IF(ISNUMBER(C14/Datos!BI14),C14/Datos!BI14," - ")</f>
        <v xml:space="preserve"> - </v>
      </c>
      <c r="E14" s="1146">
        <f>SUBTOTAL(9,E8:E13)</f>
        <v>405</v>
      </c>
      <c r="F14" s="1147">
        <f>IF(ISNUMBER(E14/B14),E14/B14," - ")</f>
        <v>135</v>
      </c>
      <c r="G14" s="1146">
        <f>SUBTOTAL(9,G8:G13)</f>
        <v>454</v>
      </c>
      <c r="H14" s="1147">
        <f>IF(ISNUMBER(G14/B14),G14/B14," - ")</f>
        <v>151.33333333333334</v>
      </c>
      <c r="I14" s="1146">
        <f>SUBTOTAL(9,I8:I13)</f>
        <v>1049</v>
      </c>
      <c r="J14" s="1147">
        <f>IF(ISNUMBER(I14/B14),I14/B14," - ")</f>
        <v>349.66666666666669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597</v>
      </c>
      <c r="D17" s="452">
        <f>IF(ISNUMBER(C17/Datos!BH17),C17/Datos!BH17," - ")</f>
        <v>199</v>
      </c>
      <c r="E17" s="451">
        <f>IF(ISNUMBER(IF(D_I="SI",Datos!J17,Datos!J17+Datos!AD17)),IF(D_I="SI",Datos!J17,Datos!J17+Datos!AD17)," - ")</f>
        <v>419</v>
      </c>
      <c r="F17" s="452">
        <f>IF(ISNUMBER(E17/B17),E17/B17," - ")</f>
        <v>139.66666666666666</v>
      </c>
      <c r="G17" s="451">
        <f>IF(ISNUMBER(IF(D_I="SI",Datos!K17,Datos!K17+Datos!AE17)),IF(D_I="SI",Datos!K17,Datos!K17+Datos!AE17)," - ")</f>
        <v>432</v>
      </c>
      <c r="H17" s="452">
        <f>IF(ISNUMBER(G17/B17),G17/B17," - ")</f>
        <v>144</v>
      </c>
      <c r="I17" s="451">
        <f>IF(ISNUMBER(IF(D_I="SI",Datos!L17,Datos!L17+Datos!AF17)),IF(D_I="SI",Datos!L17,Datos!L17+Datos!AF17)," - ")</f>
        <v>584</v>
      </c>
      <c r="J17" s="452">
        <f>IF(ISNUMBER(I17/B17),I17/B17," - ")</f>
        <v>194.66666666666666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v>
      </c>
      <c r="D18" s="452">
        <f>IF(ISNUMBER(C18/Datos!BH18),C18/Datos!BH18," - ")</f>
        <v>32</v>
      </c>
      <c r="E18" s="451">
        <f>IF(ISNUMBER(IF(D_I="SI",Datos!J18,Datos!J18+Datos!AD18)),IF(D_I="SI",Datos!J18,Datos!J18+Datos!AD18)," - ")</f>
        <v>73</v>
      </c>
      <c r="F18" s="452">
        <f>IF(ISNUMBER(E18/B18),E18/B18," - ")</f>
        <v>73</v>
      </c>
      <c r="G18" s="451">
        <f>IF(ISNUMBER(IF(D_I="SI",Datos!K18,Datos!K18+Datos!AE18)),IF(D_I="SI",Datos!K18,Datos!K18+Datos!AE18)," - ")</f>
        <v>77</v>
      </c>
      <c r="H18" s="452">
        <f>IF(ISNUMBER(G18/B18),G18/B18," - ")</f>
        <v>77</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629</v>
      </c>
      <c r="D23" s="1147" t="str">
        <f>IF(ISNUMBER(C23/Datos!BI23),C23/Datos!BI23," - ")</f>
        <v xml:space="preserve"> - </v>
      </c>
      <c r="E23" s="1146">
        <f>SUBTOTAL(9,E15:E22)</f>
        <v>492</v>
      </c>
      <c r="F23" s="1147">
        <f>IF(ISNUMBER(E23/B23),E23/B23," - ")</f>
        <v>164</v>
      </c>
      <c r="G23" s="1146">
        <f>SUBTOTAL(9,G15:G22)</f>
        <v>509</v>
      </c>
      <c r="H23" s="1147">
        <f>IF(ISNUMBER(G23/B23),G23/B23," - ")</f>
        <v>169.66666666666666</v>
      </c>
      <c r="I23" s="1146">
        <f>SUBTOTAL(9,I15:I22)</f>
        <v>612</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1727</v>
      </c>
      <c r="D31" s="1085" t="str">
        <f>IF(ISNUMBER(C31/Datos!BI31),C31/Datos!BI31," - ")</f>
        <v xml:space="preserve"> - </v>
      </c>
      <c r="E31" s="1084">
        <f>SUBTOTAL(9,E9:E30)</f>
        <v>897</v>
      </c>
      <c r="F31" s="1085">
        <f>IF(ISNUMBER(E31/B31),E31/B31," - ")</f>
        <v>299</v>
      </c>
      <c r="G31" s="1084">
        <f>SUBTOTAL(9,G9:G30)</f>
        <v>963</v>
      </c>
      <c r="H31" s="1085">
        <f>IF(ISNUMBER(G31/B31),G31/B31," - ")</f>
        <v>321</v>
      </c>
      <c r="I31" s="1084">
        <f>SUBTOTAL(9,I9:I30)</f>
        <v>1661</v>
      </c>
      <c r="J31" s="1085">
        <f>IF(ISNUMBER(I31/B31),I31/B31," - ")</f>
        <v>553.66666666666663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XQ/aQGo8TvdhCgK9lEDeWGpaFwbwXgZEN9DpLDMeRNInJhoPHatt6fLVRk7LdJh47GhfYVMaJ7zeVaRlnKCgQ==" saltValue="bcGIYiZhTmyM+gYcf8M5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HUERCAL-OVERA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47</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5.526315789473685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6.9931034482758632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-3.7715517241379309E-2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47</v>
      </c>
      <c r="G14" s="1256">
        <f t="shared" si="0"/>
        <v>47</v>
      </c>
      <c r="H14" s="1256">
        <f t="shared" si="0"/>
        <v>0</v>
      </c>
      <c r="I14" s="1258">
        <f t="shared" si="0"/>
        <v>0</v>
      </c>
      <c r="J14" s="1257">
        <f t="shared" si="0"/>
        <v>0</v>
      </c>
      <c r="K14" s="1257">
        <f t="shared" si="0"/>
        <v>0</v>
      </c>
      <c r="L14" s="1259">
        <f t="shared" si="0"/>
        <v>0</v>
      </c>
      <c r="M14" s="1259">
        <f t="shared" si="0"/>
        <v>0</v>
      </c>
      <c r="N14" s="1257">
        <f t="shared" si="0"/>
        <v>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200</v>
      </c>
      <c r="AE14" s="1257">
        <f t="shared" si="1"/>
        <v>0</v>
      </c>
      <c r="AF14" s="1257">
        <f t="shared" si="1"/>
        <v>35</v>
      </c>
      <c r="AG14" s="1257">
        <f t="shared" si="1"/>
        <v>0</v>
      </c>
      <c r="AH14" s="1257">
        <f t="shared" si="1"/>
        <v>2679</v>
      </c>
      <c r="AI14" s="1257">
        <f t="shared" si="1"/>
        <v>0</v>
      </c>
      <c r="AJ14" s="1257">
        <f t="shared" si="1"/>
        <v>0</v>
      </c>
      <c r="AK14" s="1257">
        <f t="shared" si="1"/>
        <v>0</v>
      </c>
      <c r="AL14" s="1257">
        <f t="shared" si="1"/>
        <v>105</v>
      </c>
      <c r="AM14" s="1257">
        <f t="shared" si="1"/>
        <v>198</v>
      </c>
      <c r="AN14" s="1257">
        <f t="shared" si="1"/>
        <v>0</v>
      </c>
      <c r="AO14" s="1257">
        <f t="shared" si="1"/>
        <v>0</v>
      </c>
      <c r="AP14" s="1262">
        <f>IF(ISNUMBER(((Datos!L14/Datos!K14)*11)/factor_trimestre),((Datos!L14/Datos!K14)*11)/factor_trimestre," - ")</f>
        <v>7.8230769230769228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-0.40425531914893614</v>
      </c>
      <c r="AU14" s="1257" t="str">
        <f>IF(ISNUMBER((DatosP!#REF!-DatosP!#REF!+DatosP!#REF!)/(DatosP!#REF!+DatosP!#REF!-DatosP!#REF!-DatosP!#REF!)),(DatosP!#REF!-DatosP!#REF!+DatosP!#REF!)/(DatosP!#REF!+DatosP!#REF!-DatosP!#REF!-DatosP!#REF!)," - ")</f>
        <v xml:space="preserve"> - </v>
      </c>
      <c r="AV14" s="1263">
        <f>SUBTOTAL(9,AV9:AV13)</f>
        <v>-3.7715517241379309E-2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3.6070726915520628</v>
      </c>
      <c r="AQ23" s="1262">
        <f>IF(ISNUMBER(((Datos!M23/Datos!L23)*11)/factor_trimestre),((Datos!M23/Datos!L23)*11)/factor_trimestre," - ")</f>
        <v>0.41176470588235303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9.375E-2</v>
      </c>
      <c r="AW23" s="1265">
        <f>IF(ISNUMBER((Datos!Q23-Datos!R23)/(Datos!S23-Datos!Q23+Datos!R23)),(Datos!Q23-Datos!R23)/(Datos!S23-Datos!Q23+Datos!R23)," - ")</f>
        <v>-8.222490931076179E-2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47</v>
      </c>
      <c r="G31" s="1278">
        <f t="shared" si="8"/>
        <v>47</v>
      </c>
      <c r="H31" s="1278">
        <f t="shared" si="8"/>
        <v>0</v>
      </c>
      <c r="I31" s="1279">
        <f t="shared" si="8"/>
        <v>0</v>
      </c>
      <c r="J31" s="1280">
        <f t="shared" si="8"/>
        <v>0</v>
      </c>
      <c r="K31" s="1280">
        <f t="shared" si="8"/>
        <v>0</v>
      </c>
      <c r="L31" s="1280">
        <f t="shared" si="8"/>
        <v>0</v>
      </c>
      <c r="M31" s="1280">
        <f t="shared" si="8"/>
        <v>0</v>
      </c>
      <c r="N31" s="1279">
        <f t="shared" si="8"/>
        <v>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200</v>
      </c>
      <c r="AE31" s="1284">
        <f t="shared" si="9"/>
        <v>0</v>
      </c>
      <c r="AF31" s="1285">
        <f t="shared" si="9"/>
        <v>35</v>
      </c>
      <c r="AG31" s="1285">
        <f t="shared" si="9"/>
        <v>0</v>
      </c>
      <c r="AH31" s="1285">
        <f t="shared" si="9"/>
        <v>2679</v>
      </c>
      <c r="AI31" s="1285">
        <f t="shared" si="9"/>
        <v>0</v>
      </c>
      <c r="AJ31" s="1286">
        <f t="shared" si="9"/>
        <v>0</v>
      </c>
      <c r="AK31" s="1286">
        <f t="shared" si="9"/>
        <v>0</v>
      </c>
      <c r="AL31" s="1278">
        <f t="shared" si="9"/>
        <v>105</v>
      </c>
      <c r="AM31" s="1278">
        <f t="shared" si="9"/>
        <v>198</v>
      </c>
      <c r="AN31" s="1278">
        <f t="shared" si="9"/>
        <v>0</v>
      </c>
      <c r="AO31" s="1278">
        <f t="shared" si="9"/>
        <v>0</v>
      </c>
      <c r="AP31" s="1278">
        <f>IF(ISNUMBER(((Datos!L31/Datos!K31)*11)/factor_trimestre),((Datos!L31/Datos!K31)*11)/factor_trimestre," - ")</f>
        <v>5.4360400444938826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-0.40425531914893614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-3.4676007005253938E-2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25.742960202742807</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50.263306695839262</v>
      </c>
      <c r="AM33" s="1006"/>
      <c r="AN33" s="1006">
        <f>IF(ISNUMBER(STDEV(AN8:AN30)),STDEV(AN8:AN30),"-")</f>
        <v>0</v>
      </c>
      <c r="AO33" s="1012">
        <f>IF(ISNUMBER(STDEV(AO8:AO30)),STDEV(AO8:AO30),"-")</f>
        <v>0</v>
      </c>
      <c r="AP33" s="1065">
        <f>IF(ISNUMBER(STDEV(AP8:AP30)),STDEV(AP8:AP30),"-")</f>
        <v>1.8492976987754242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kNaV3E8g5N6Qm1CTGgZZfpiSLP7jVj2rgZGNZJbFeEcq+ahuolyRzTD9/EIv8IBbKEkNUjI+pM1C2miGqtW2w==" saltValue="VFechzd7s2pmK/duUbFj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HUERCAL-OVERA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yLYiDiMiKsgbqGVA+JfCQJ0VRS0u0FYrPAySDK9+jNmcob0Ecgj84Iou34xY4ZcvyFG9/Mdo6shCAKCxt1znA==" saltValue="VYkMfcAm6JYtFhktFsL0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HUERCAL-OVERA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94</v>
      </c>
      <c r="E12" s="452">
        <f t="shared" si="0"/>
        <v>31.333333333333332</v>
      </c>
      <c r="F12" s="451">
        <f>IF(ISNUMBER(Datos!N12),Datos!N12," - ")</f>
        <v>194</v>
      </c>
      <c r="G12" s="452">
        <f t="shared" si="1"/>
        <v>64.666666666666671</v>
      </c>
      <c r="H12" s="451">
        <f>IF(ISNUMBER(Datos!O12),Datos!O12," - ")</f>
        <v>136</v>
      </c>
      <c r="I12" s="452">
        <f t="shared" si="2"/>
        <v>45.333333333333336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105</v>
      </c>
      <c r="E14" s="1147">
        <f t="shared" si="0"/>
        <v>26.25</v>
      </c>
      <c r="F14" s="1146">
        <f>SUBTOTAL(9,F9:F13)</f>
        <v>198</v>
      </c>
      <c r="G14" s="1147">
        <f t="shared" si="1"/>
        <v>49.5</v>
      </c>
      <c r="H14" s="1146">
        <f>SUBTOTAL(9,H9:H13)</f>
        <v>136</v>
      </c>
      <c r="I14" s="1147">
        <f>IF(ISNUMBER(H14/B14),H14/B14," - ")</f>
        <v>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74</v>
      </c>
      <c r="E17" s="452">
        <f t="shared" si="3"/>
        <v>24.666666666666668</v>
      </c>
      <c r="F17" s="451">
        <f>IF(ISNUMBER(Datos!N17),Datos!N17," - ")</f>
        <v>257</v>
      </c>
      <c r="G17" s="452">
        <f t="shared" si="4"/>
        <v>85.666666666666671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84</v>
      </c>
      <c r="E23" s="1147">
        <f t="shared" si="3"/>
        <v>21</v>
      </c>
      <c r="F23" s="1146">
        <f>SUBTOTAL(9,F16:F22)</f>
        <v>291</v>
      </c>
      <c r="G23" s="1147">
        <f t="shared" si="4"/>
        <v>72.75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189</v>
      </c>
      <c r="E31" s="1085">
        <f>IF(ISNUMBER(D31/B31),D31/B31," - ")</f>
        <v>63</v>
      </c>
      <c r="F31" s="1084">
        <f>SUBTOTAL(9,F8:F30)</f>
        <v>489</v>
      </c>
      <c r="G31" s="1085">
        <f>IF(ISNUMBER(F31/B31),F31/B31," - ")</f>
        <v>163</v>
      </c>
      <c r="H31" s="1084">
        <f>SUBTOTAL(9,H8:H30)</f>
        <v>136</v>
      </c>
      <c r="I31" s="1085">
        <f>IF(ISNUMBER(H31/B31),H31/B31," - ")</f>
        <v>45.333333333333336</v>
      </c>
    </row>
    <row r="34" spans="1:1">
      <c r="A34" s="439" t="str">
        <f>Criterios!A4</f>
        <v>Fecha Informe: 05 may. 2023</v>
      </c>
    </row>
    <row r="39" spans="1:1">
      <c r="A39" s="462"/>
    </row>
  </sheetData>
  <sheetProtection algorithmName="SHA-512" hashValue="WJW2ebc9Tb8PtBT6rHJ7s9hT3PxFPCxUBz3JIeitvGmDMPB/p+YHR8WMItsLLRGZ73tWGOtTq6S/uLVq9UqWKA==" saltValue="5NOqZlajtqhfEb0rY1P9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HUERCAL-OVERA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200</v>
      </c>
      <c r="D12" s="456">
        <f>IF(ISNUMBER(Datos!R12),Datos!R12," - ")</f>
        <v>2679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v>
      </c>
      <c r="C14" s="1150">
        <f>SUBTOTAL(9,C9:C13)</f>
        <v>200</v>
      </c>
      <c r="D14" s="1148">
        <f>SUBTOTAL(9,D9:D13)</f>
        <v>2686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v>
      </c>
      <c r="D17" s="456">
        <f>IF(ISNUMBER(Datos!R17),Datos!R17," - ")</f>
        <v>70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v>
      </c>
      <c r="C31" s="1089">
        <f>SUBTOTAL(9,C8:C30)</f>
        <v>202</v>
      </c>
      <c r="D31" s="1090">
        <f>SUBTOTAL(9,D8:D30)</f>
        <v>2756</v>
      </c>
    </row>
    <row r="32" spans="1:4" ht="7.5" customHeight="1"/>
    <row r="33" spans="1:1" ht="6" customHeight="1"/>
    <row r="34" spans="1:1">
      <c r="A34" s="439" t="str">
        <f>Criterios!A4</f>
        <v>Fecha Informe: 05 may. 2023</v>
      </c>
    </row>
    <row r="39" spans="1:1">
      <c r="A39" s="462"/>
    </row>
  </sheetData>
  <sheetProtection algorithmName="SHA-512" hashValue="aP30Z7iM3PU9c9NMT/mj04mU/W5DyP82MkeF752gV2HcyJBsJZswQ26msEjBsspoz3+Ta/jkFcahn37EgBjBrg==" saltValue="oCZ7u+AKyh0OlyXcvSUt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HUERCAL-OVERA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0.30555555555555558</v>
      </c>
      <c r="C10" s="515">
        <f>IF(ISNUMBER((Datos!J10-Datos!T10)/Datos!T10),(Datos!J10-Datos!T10)/Datos!T10," - ")</f>
        <v>-0.22222222222222221</v>
      </c>
      <c r="D10" s="515">
        <f>IF(ISNUMBER((Datos!K10-Datos!U10)/Datos!U10),(Datos!K10-Datos!U10)/Datos!U10," - ")</f>
        <v>2.1666666666666665</v>
      </c>
      <c r="E10" s="515">
        <f>IF(ISNUMBER((Datos!L10-Datos!V10)/Datos!V10),(Datos!L10-Datos!V10)/Datos!V10," - ")</f>
        <v>-0.10256410256410256</v>
      </c>
      <c r="F10" s="515">
        <f>IF(ISNUMBER((Datos!M10-Datos!W10)/Datos!W10),(Datos!M10-Datos!W10)/Datos!W10," - ")</f>
        <v>0.83333333333333337</v>
      </c>
      <c r="G10" s="516" t="str">
        <f>IF(ISNUMBER((Datos!N10-Datos!X10)/Datos!X10),(Datos!N10-Datos!X10)/Datos!X10," - ")</f>
        <v xml:space="preserve"> - </v>
      </c>
      <c r="H10" s="514">
        <f>IF(ISNUMBER(((NºAsuntos!G10/NºAsuntos!E10)-Datos!BD10)/Datos!BD10),((NºAsuntos!G10/NºAsuntos!E10)-Datos!BD10)/Datos!BD10," - ")</f>
        <v>3.0714285714285721</v>
      </c>
      <c r="I10" s="515">
        <f>IF(ISNUMBER(((NºAsuntos!I10/NºAsuntos!G10)-Datos!BE10)/Datos!BE10),((NºAsuntos!I10/NºAsuntos!G10)-Datos!BE10)/Datos!BE10," - ")</f>
        <v>-0.7165991902834008</v>
      </c>
      <c r="J10" s="521">
        <f>IF(ISNUMBER((('Resol  Asuntos'!D10/NºAsuntos!G10)-Datos!BF10)/Datos!BF10),(('Resol  Asuntos'!D10/NºAsuntos!G10)-Datos!BF10)/Datos!BF10," - ")</f>
        <v>-0.42105263157894735</v>
      </c>
      <c r="K10" s="522">
        <f>IF(ISNUMBER((((NºAsuntos!C10+NºAsuntos!E10)/NºAsuntos!G10)-Datos!BG10)/Datos!BG10),(((NºAsuntos!C10+NºAsuntos!E10)/NºAsuntos!G10)-Datos!BG10)/Datos!BG10," - ")</f>
        <v>-0.62105263157894741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-0.15582329317269075</v>
      </c>
      <c r="C12" s="515">
        <f>IF(ISNUMBER(
   IF(J_V="SI",(Datos!J12-Datos!T12)/Datos!T12,(Datos!J12+Datos!Z12-(Datos!T12+Datos!AH12))/(Datos!T12+Datos!AH12))
     ),IF(J_V="SI",(Datos!J12-Datos!T12)/Datos!T12,(Datos!J12+Datos!Z12-(Datos!T12+Datos!AH12))/(Datos!T12+Datos!AH12))," - ")</f>
        <v>-0.29805996472663138</v>
      </c>
      <c r="D12" s="515">
        <f>IF(ISNUMBER(
   IF(J_V="SI",(Datos!K12-Datos!U12)/Datos!U12,(Datos!K12+Datos!AA12-(Datos!U12+Datos!AI12))/(Datos!U12+Datos!AI12))
     ),IF(J_V="SI",(Datos!K12-Datos!U12)/Datos!U12,(Datos!K12+Datos!AA12-(Datos!U12+Datos!AI12))/(Datos!U12+Datos!AI12))," - ")</f>
        <v>-0.39499304589707929</v>
      </c>
      <c r="E12" s="515">
        <f>IF(ISNUMBER(
   IF(J_V="SI",(Datos!L12-Datos!V12)/Datos!V12,(Datos!L12+Datos!AB12-(Datos!V12+Datos!AJ12))/(Datos!V12+Datos!AJ12))
     ),IF(J_V="SI",(Datos!L12-Datos!V12)/Datos!V12,(Datos!L12+Datos!AB12-(Datos!V12+Datos!AJ12))/(Datos!V12+Datos!AJ12))," - ")</f>
        <v>-0.13184931506849315</v>
      </c>
      <c r="F12" s="515">
        <f>IF(ISNUMBER((Datos!M12-Datos!W12)/Datos!W12),(Datos!M12-Datos!W12)/Datos!W12," - ")</f>
        <v>-8.7378640776699032E-2</v>
      </c>
      <c r="G12" s="516">
        <f>IF(ISNUMBER((Datos!N12-Datos!X12)/Datos!X12),(Datos!N12-Datos!X12)/Datos!X12," - ")</f>
        <v>-0.41566265060240964</v>
      </c>
      <c r="H12" s="514">
        <f>IF(ISNUMBER(((NºAsuntos!G12/NºAsuntos!E12)-Datos!BD12)/Datos!BD12),((NºAsuntos!G12/NºAsuntos!E12)-Datos!BD12)/Datos!BD12," - ")</f>
        <v>-0.13809310809960798</v>
      </c>
      <c r="I12" s="515">
        <f>IF(ISNUMBER(((NºAsuntos!I12/NºAsuntos!G12)-Datos!BE12)/Datos!BE12),((NºAsuntos!I12/NºAsuntos!G12)-Datos!BE12)/Datos!BE12," - ")</f>
        <v>0.43494331601322644</v>
      </c>
      <c r="J12" s="521">
        <f>IF(ISNUMBER((('Resol  Asuntos'!D12/NºAsuntos!G12)-Datos!BF12)/Datos!BF12),(('Resol  Asuntos'!D12/NºAsuntos!G12)-Datos!BF12)/Datos!BF12," - ")</f>
        <v>-0.53201772607672071</v>
      </c>
      <c r="K12" s="522">
        <f>IF(ISNUMBER((((NºAsuntos!C12+NºAsuntos!E12)/NºAsuntos!G12)-Datos!BG12)/Datos!BG12),(((NºAsuntos!C12+NºAsuntos!E12)/NºAsuntos!G12)-Datos!BG12)/Datos!BG12," - ")</f>
        <v>0.32175154144781909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-0.14285714285714285</v>
      </c>
      <c r="C14" s="1152">
        <f>IF(ISNUMBER(
   IF(J_V="SI",(Datos!J14-Datos!T14)/Datos!T14,(Datos!J14+Datos!Z14-(Datos!T14+Datos!AH14))/(Datos!T14+Datos!AH14))
     ),IF(J_V="SI",(Datos!J14-Datos!T14)/Datos!T14,(Datos!J14+Datos!Z14-(Datos!T14+Datos!AH14))/(Datos!T14+Datos!AH14))," - ")</f>
        <v>-0.296875</v>
      </c>
      <c r="D14" s="1152">
        <f>IF(ISNUMBER(
   IF(J_V="SI",(Datos!K14-Datos!U14)/Datos!U14,(Datos!K14+Datos!AA14-(Datos!U14+Datos!AI14))/(Datos!U14+Datos!AI14))
     ),IF(J_V="SI",(Datos!K14-Datos!U14)/Datos!U14,(Datos!K14+Datos!AA14-(Datos!U14+Datos!AI14))/(Datos!U14+Datos!AI14))," - ")</f>
        <v>-0.37379310344827588</v>
      </c>
      <c r="E14" s="1152">
        <f>IF(ISNUMBER(
   IF(J_V="SI",(Datos!L14-Datos!V14)/Datos!V14,(Datos!L14+Datos!AB14-(Datos!V14+Datos!AJ14))/(Datos!V14+Datos!AJ14))
     ),IF(J_V="SI",(Datos!L14-Datos!V14)/Datos!V14,(Datos!L14+Datos!AB14-(Datos!V14+Datos!AJ14))/(Datos!V14+Datos!AJ14))," - ")</f>
        <v>-0.13090306545153271</v>
      </c>
      <c r="F14" s="1153">
        <f>IF(ISNUMBER((Datos!M14-Datos!W14)/Datos!W14),(Datos!M14-Datos!W14)/Datos!W14," - ")</f>
        <v>-3.669724770642202E-2</v>
      </c>
      <c r="G14" s="1154">
        <f>IF(ISNUMBER((Datos!N14-Datos!X14)/Datos!X14),(Datos!N14-Datos!X14)/Datos!X14," - ")</f>
        <v>-0.40361445783132532</v>
      </c>
      <c r="H14" s="1154">
        <f>IF(ISNUMBER(((NºAsuntos!G14/NºAsuntos!E14)-Datos!BD14)/Datos!BD14),((NºAsuntos!G14/NºAsuntos!E14)-Datos!BD14)/Datos!BD14," - ")</f>
        <v>-0.10939463601532576</v>
      </c>
      <c r="I14" s="1154">
        <f>IF(ISNUMBER(((NºAsuntos!I14/NºAsuntos!G14)-Datos!BE14)/Datos!BE14),((NºAsuntos!I14/NºAsuntos!G14)-Datos!BE14)/Datos!BE14," - ")</f>
        <v>0.3878750606776184</v>
      </c>
      <c r="J14" s="1154">
        <f>IF(ISNUMBER((('Resol  Asuntos'!D14/NºAsuntos!G14)-Datos!BF14)/Datos!BF14),(('Resol  Asuntos'!D14/NºAsuntos!G14)-Datos!BF14)/Datos!BF14," - ")</f>
        <v>-0.50391653416051929</v>
      </c>
      <c r="K14" s="1154">
        <f>IF(ISNUMBER((((NºAsuntos!C14+NºAsuntos!E14)/NºAsuntos!G14)-Datos!BG14)/Datos!BG14),(((NºAsuntos!C14+NºAsuntos!E14)/NºAsuntos!G14)-Datos!BG14)/Datos!BG14," - ")</f>
        <v>0.29249606797947519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-0.14714285714285713</v>
      </c>
      <c r="C17" s="515">
        <f>IF(ISNUMBER(
   IF(D_I="SI",(Datos!J17-Datos!T17)/Datos!T17,(Datos!J17+Datos!AD17-(Datos!T17+Datos!AL17))/(Datos!T17+Datos!AL17))
     ),IF(D_I="SI",(Datos!J17-Datos!T17)/Datos!T17,(Datos!J17+Datos!AD17-(Datos!T17+Datos!AL17))/(Datos!T17+Datos!AL17))," - ")</f>
        <v>-0.47885572139303484</v>
      </c>
      <c r="D17" s="515">
        <f>IF(ISNUMBER(
   IF(D_I="SI",(Datos!K17-Datos!U17)/Datos!U17,(Datos!K17+Datos!AE17-(Datos!U17+Datos!AM17))/(Datos!U17+Datos!AM17))
     ),IF(D_I="SI",(Datos!K17-Datos!U17)/Datos!U17,(Datos!K17+Datos!AE17-(Datos!U17+Datos!AM17))/(Datos!U17+Datos!AM17))," - ")</f>
        <v>-0.46928746928746928</v>
      </c>
      <c r="E17" s="515">
        <f>IF(ISNUMBER(
   IF(D_I="SI",(Datos!L17-Datos!V17)/Datos!V17,(Datos!L17+Datos!AF17-(Datos!V17+Datos!AN17))/(Datos!V17+Datos!AN17))
     ),IF(D_I="SI",(Datos!L17-Datos!V17)/Datos!V17,(Datos!L17+Datos!AF17-(Datos!V17+Datos!AN17))/(Datos!V17+Datos!AN17))," - ")</f>
        <v>-0.15971223021582734</v>
      </c>
      <c r="F17" s="515">
        <f>IF(ISNUMBER((Datos!M17-Datos!W17)/Datos!W17),(Datos!M17-Datos!W17)/Datos!W17," - ")</f>
        <v>-0.17777777777777778</v>
      </c>
      <c r="G17" s="516">
        <f>IF(ISNUMBER((Datos!N17-Datos!X17)/Datos!X17),(Datos!N17-Datos!X17)/Datos!X17," - ")</f>
        <v>-0.56218057921635434</v>
      </c>
      <c r="H17" s="514">
        <f>IF(ISNUMBER(((NºAsuntos!G17/NºAsuntos!E17)-Datos!BD17)/Datos!BD17),((NºAsuntos!G17/NºAsuntos!E17)-Datos!BD17)/Datos!BD17," - ")</f>
        <v>1.8360082799223701E-2</v>
      </c>
      <c r="I17" s="515">
        <f>IF(ISNUMBER(((NºAsuntos!I17/NºAsuntos!G17)-Datos!BE17)/Datos!BE17),((NºAsuntos!I17/NºAsuntos!G17)-Datos!BE17)/Datos!BE17," - ")</f>
        <v>0.5833200106581401</v>
      </c>
      <c r="J17" s="521">
        <f>IF(ISNUMBER((('Resol  Asuntos'!D17/NºAsuntos!G17)-Datos!BF17)/Datos!BF17),(('Resol  Asuntos'!D17/NºAsuntos!G17)-Datos!BF17)/Datos!BF17," - ")</f>
        <v>0.5492798353909466</v>
      </c>
      <c r="K17" s="522">
        <f>IF(ISNUMBER((((NºAsuntos!C17+NºAsuntos!E17)/NºAsuntos!G17)-Datos!BG17)/Datos!BG17),(((NºAsuntos!C17+NºAsuntos!E17)/NºAsuntos!G17)-Datos!BG17)/Datos!BG17," - ")</f>
        <v>0.27287726556343567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-0.4576271186440678</v>
      </c>
      <c r="C18" s="515">
        <f>IF(ISNUMBER(
   IF(D_I="SI",(Datos!J18-Datos!T18)/Datos!T18,(Datos!J18+Datos!AD18-(Datos!T18+Datos!AL18))/(Datos!T18+Datos!AL18))
     ),IF(D_I="SI",(Datos!J18-Datos!T18)/Datos!T18,(Datos!J18+Datos!AD18-(Datos!T18+Datos!AL18))/(Datos!T18+Datos!AL18))," - ")</f>
        <v>0.30357142857142855</v>
      </c>
      <c r="D18" s="515">
        <f>IF(ISNUMBER(
   IF(D_I="SI",(Datos!K18-Datos!U18)/Datos!U18,(Datos!K18+Datos!AE18-(Datos!U18+Datos!AM18))/(Datos!U18+Datos!AM18))
     ),IF(D_I="SI",(Datos!K18-Datos!U18)/Datos!U18,(Datos!K18+Datos!AE18-(Datos!U18+Datos!AM18))/(Datos!U18+Datos!AM18))," - ")</f>
        <v>0.67391304347826086</v>
      </c>
      <c r="E18" s="515">
        <f>IF(ISNUMBER(
   IF(D_I="SI",(Datos!L18-Datos!V18)/Datos!V18,(Datos!L18+Datos!AF18-(Datos!V18+Datos!AN18))/(Datos!V18+Datos!AN18))
     ),IF(D_I="SI",(Datos!L18-Datos!V18)/Datos!V18,(Datos!L18+Datos!AF18-(Datos!V18+Datos!AN18))/(Datos!V18+Datos!AN18))," - ")</f>
        <v>-0.59420289855072461</v>
      </c>
      <c r="F18" s="515">
        <f>IF(ISNUMBER((Datos!M18-Datos!W18)/Datos!W18),(Datos!M18-Datos!W18)/Datos!W18," - ")</f>
        <v>0</v>
      </c>
      <c r="G18" s="516">
        <f>IF(ISNUMBER((Datos!N18-Datos!X18)/Datos!X18),(Datos!N18-Datos!X18)/Datos!X18," - ")</f>
        <v>2.7777777777777777</v>
      </c>
      <c r="H18" s="514">
        <f>IF(ISNUMBER(((NºAsuntos!G18/NºAsuntos!E18)-Datos!BD18)/Datos!BD18),((NºAsuntos!G18/NºAsuntos!E18)-Datos!BD18)/Datos!BD18," - ")</f>
        <v>0.28409767718880291</v>
      </c>
      <c r="I18" s="515">
        <f>IF(ISNUMBER(((NºAsuntos!I18/NºAsuntos!G18)-Datos!BE18)/Datos!BE18),((NºAsuntos!I18/NºAsuntos!G18)-Datos!BE18)/Datos!BE18," - ")</f>
        <v>-0.75757575757575746</v>
      </c>
      <c r="J18" s="521">
        <f>IF(ISNUMBER((('Resol  Asuntos'!D18/NºAsuntos!G18)-Datos!BF18)/Datos!BF18),(('Resol  Asuntos'!D18/NºAsuntos!G18)-Datos!BF18)/Datos!BF18," - ")</f>
        <v>-0.40259740259740262</v>
      </c>
      <c r="K18" s="522">
        <f>IF(ISNUMBER((((NºAsuntos!C18+NºAsuntos!E18)/NºAsuntos!G18)-Datos!BG18)/Datos!BG18),(((NºAsuntos!C18+NºAsuntos!E18)/NºAsuntos!G18)-Datos!BG18)/Datos!BG18," - ")</f>
        <v>-0.45454545454545459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-0.17127799736495389</v>
      </c>
      <c r="C23" s="1152">
        <f>IF(ISNUMBER(
   IF(Criterios!B14="SI",(Datos!J23-Datos!T23)/Datos!T23,(Datos!J23+Datos!AD23-(Datos!T23+Datos!AL23))/(Datos!T23+Datos!AL23))
     ),IF(Criterios!B14="SI",(Datos!J23-Datos!T23)/Datos!T23,(Datos!J23+Datos!AD23-(Datos!T23+Datos!AL23))/(Datos!T23+Datos!AL23))," - ")</f>
        <v>-0.42790697674418604</v>
      </c>
      <c r="D23" s="1152">
        <f>IF(ISNUMBER(
   IF(Criterios!B14="SI",(Datos!K23-Datos!U23)/Datos!U23,(Datos!K23+Datos!AE23-(Datos!U23+Datos!AM23))/(Datos!U23+Datos!AM23))
     ),IF(Criterios!B14="SI",(Datos!K23-Datos!U23)/Datos!U23,(Datos!K23+Datos!AE23-(Datos!U23+Datos!AM23))/(Datos!U23+Datos!AM23))," - ")</f>
        <v>-0.40813953488372096</v>
      </c>
      <c r="E23" s="1152">
        <f>IF(ISNUMBER(
   IF(Criterios!B14="SI",(Datos!L23-Datos!V23)/Datos!V23,(Datos!L23+Datos!AF23-(Datos!V23+Datos!AN23))/(Datos!V23+Datos!AN23))
     ),IF(Criterios!B14="SI",(Datos!L23-Datos!V23)/Datos!V23,(Datos!L23+Datos!AF23-(Datos!V23+Datos!AN23))/(Datos!V23+Datos!AN23))," - ")</f>
        <v>-0.19895287958115182</v>
      </c>
      <c r="F23" s="1153">
        <f>IF(ISNUMBER((Datos!M23-Datos!W23)/Datos!W23),(Datos!M23-Datos!W23)/Datos!W23," - ")</f>
        <v>-0.16</v>
      </c>
      <c r="G23" s="1154">
        <f>IF(ISNUMBER((Datos!N23-Datos!X23)/Datos!X23),(Datos!N23-Datos!X23)/Datos!X23," - ")</f>
        <v>-0.51174496644295298</v>
      </c>
      <c r="H23" s="1154">
        <f>IF(ISNUMBER(((NºAsuntos!G23/NºAsuntos!E23)-Datos!BD23)/Datos!BD23),((NºAsuntos!G23/NºAsuntos!E23)-Datos!BD23)/Datos!BD23," - ")</f>
        <v>3.4552845528455389E-2</v>
      </c>
      <c r="I23" s="1154">
        <f>IF(ISNUMBER(((NºAsuntos!I23/NºAsuntos!G23)-Datos!BE23)/Datos!BE23),((NºAsuntos!I23/NºAsuntos!G23)-Datos!BE23)/Datos!BE23," - ")</f>
        <v>0.35343914255443892</v>
      </c>
      <c r="J23" s="1154">
        <f>IF(ISNUMBER((('Resol  Asuntos'!D23/NºAsuntos!G23)-Datos!BF23)/Datos!BF23),(('Resol  Asuntos'!D23/NºAsuntos!G23)-Datos!BF23)/Datos!BF23," - ")</f>
        <v>0.41925343811394905</v>
      </c>
      <c r="K23" s="1154">
        <f>IF(ISNUMBER((((NºAsuntos!C23+NºAsuntos!E23)/NºAsuntos!G23)-Datos!BG23)/Datos!BG23),(((NºAsuntos!C23+NºAsuntos!E23)/NºAsuntos!G23)-Datos!BG23)/Datos!BG23," - ")</f>
        <v>0.16987492582556593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-0.15343137254901962</v>
      </c>
      <c r="C31" s="1092">
        <f>IF(ISNUMBER(
   IF(J_V="SI",(Datos!J31-Datos!T31)/Datos!T31,(Datos!J31+Datos!Z31-(Datos!T31+Datos!AH31))/(Datos!T31+Datos!AH31))
     ),IF(J_V="SI",(Datos!J31-Datos!T31)/Datos!T31,(Datos!J31+Datos!Z31-(Datos!T31+Datos!AH31))/(Datos!T31+Datos!AH31))," - ")</f>
        <v>-0.37534818941504178</v>
      </c>
      <c r="D31" s="1092">
        <f>IF(ISNUMBER(
   IF(J_V="SI",(Datos!K31-Datos!U31)/Datos!U31,(Datos!K31+Datos!AA31-(Datos!U31+Datos!AI31))/(Datos!U31+Datos!AI31))
     ),IF(J_V="SI",(Datos!K31-Datos!U31)/Datos!U31,(Datos!K31+Datos!AA31-(Datos!U31+Datos!AI31))/(Datos!U31+Datos!AI31))," - ")</f>
        <v>-0.39242902208201891</v>
      </c>
      <c r="E31" s="1092">
        <f>IF(ISNUMBER(
   IF(J_V="SI",(Datos!L31-Datos!V31)/Datos!V31,(Datos!L31+Datos!AB31-(Datos!V31+Datos!AJ31))/(Datos!V31+Datos!AJ31))
     ),IF(J_V="SI",(Datos!L31-Datos!V31)/Datos!V31,(Datos!L31+Datos!AB31-(Datos!V31+Datos!AJ31))/(Datos!V31+Datos!AJ31))," - ")</f>
        <v>-0.15728056823947234</v>
      </c>
      <c r="F31" s="1093">
        <f>IF(ISNUMBER((Datos!M31-Datos!W31)/Datos!W31),(Datos!M31-Datos!W31)/Datos!W31," - ")</f>
        <v>-9.569377990430622E-2</v>
      </c>
      <c r="G31" s="1094">
        <f>IF(ISNUMBER((Datos!N31-Datos!X31)/Datos!X31),(Datos!N31-Datos!X31)/Datos!X31," - ")</f>
        <v>-0.47306034482758619</v>
      </c>
      <c r="H31" s="1095">
        <f>IF(ISNUMBER((Tasas!B31-Datos!BD31)/Datos!BD31),(Tasas!B31-Datos!BD31)/Datos!BD31," - ")</f>
        <v>-2.7344566008672473E-2</v>
      </c>
      <c r="I31" s="1096">
        <f>IF(ISNUMBER((Tasas!C31-Datos!BE31)/Datos!BE31),(Tasas!C31-Datos!BE31)/Datos!BE31," - ")</f>
        <v>0.38703042506795038</v>
      </c>
      <c r="J31" s="1097">
        <f>IF(ISNUMBER((Tasas!D31-Datos!BF31)/Datos!BF31),(Tasas!D31-Datos!BF31)/Datos!BF31," - ")</f>
        <v>-0.28978363845858413</v>
      </c>
      <c r="K31" s="1097">
        <f>IF(ISNUMBER((Tasas!E31-Datos!BG31)/Datos!BG31),(Tasas!E31-Datos!BG31)/Datos!BG31," - ")</f>
        <v>0.24247323584836897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hzB1ShQk9yXbq9FyDDau2wLrYCk+xBLgJMBtG/6hJrycIQUClD3UrGp0loqlCoEwaSWMlpfq6A9IrbsT0ukw==" saltValue="IM56wUc2suMKQgB1AMlV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HUERCAL-OVERA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2.7142857142857144</v>
      </c>
      <c r="C10" s="498">
        <f>IF(ISNUMBER(NºAsuntos!I10/NºAsuntos!G10),NºAsuntos!I10/NºAsuntos!G10," - ")</f>
        <v>1.8421052631578947</v>
      </c>
      <c r="D10" s="499">
        <f>IF(ISNUMBER('Resol  Asuntos'!D10/NºAsuntos!G10),'Resol  Asuntos'!D10/NºAsuntos!G10," - ")</f>
        <v>0.57894736842105265</v>
      </c>
      <c r="E10" s="500">
        <f>IF(ISNUMBER((NºAsuntos!C10+NºAsuntos!E10)/NºAsuntos!G10),(NºAsuntos!C10+NºAsuntos!E10)/NºAsuntos!G10," - ")</f>
        <v>2.8421052631578947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1.0929648241206029</v>
      </c>
      <c r="C12" s="498">
        <f>IF(ISNUMBER(NºAsuntos!I12/NºAsuntos!G12),NºAsuntos!I12/NºAsuntos!G12," - ")</f>
        <v>2.3310344827586209</v>
      </c>
      <c r="D12" s="499">
        <f>IF(ISNUMBER('Resol  Asuntos'!D12/NºAsuntos!G12),'Resol  Asuntos'!D12/NºAsuntos!G12," - ")</f>
        <v>0.2160919540229885</v>
      </c>
      <c r="E12" s="500">
        <f>IF(ISNUMBER((NºAsuntos!C12+NºAsuntos!E12)/NºAsuntos!G12),(NºAsuntos!C12+NºAsuntos!E12)/NºAsuntos!G12," - ")</f>
        <v>3.3310344827586209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1.1209876543209876</v>
      </c>
      <c r="C14" s="1156">
        <f>IF(ISNUMBER(NºAsuntos!I14/NºAsuntos!G14),NºAsuntos!I14/NºAsuntos!G14," - ")</f>
        <v>2.3105726872246697</v>
      </c>
      <c r="D14" s="1157">
        <f>IF(ISNUMBER('Resol  Asuntos'!D14/NºAsuntos!G14),'Resol  Asuntos'!D14/NºAsuntos!G14," - ")</f>
        <v>0.23127753303964757</v>
      </c>
      <c r="E14" s="1158">
        <f>IF(ISNUMBER((NºAsuntos!C14+NºAsuntos!E14)/NºAsuntos!G14),(NºAsuntos!C14+NºAsuntos!E14)/NºAsuntos!G14," - ")</f>
        <v>3.3105726872246697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1.0310262529832936</v>
      </c>
      <c r="C17" s="498">
        <f>IF(ISNUMBER(NºAsuntos!I17/NºAsuntos!G17),NºAsuntos!I17/NºAsuntos!G17," - ")</f>
        <v>1.3518518518518519</v>
      </c>
      <c r="D17" s="499">
        <f>IF(ISNUMBER('Resol  Asuntos'!D17/NºAsuntos!G17),'Resol  Asuntos'!D17/NºAsuntos!G17," - ")</f>
        <v>0.17129629629629631</v>
      </c>
      <c r="E17" s="500">
        <f>IF(ISNUMBER((NºAsuntos!C17+NºAsuntos!E17)/NºAsuntos!G17),(NºAsuntos!C17+NºAsuntos!E17)/NºAsuntos!G17," - ")</f>
        <v>2.3518518518518516</v>
      </c>
      <c r="G17" s="523"/>
    </row>
    <row r="18" spans="1:7">
      <c r="A18" s="450" t="str">
        <f>Datos!A18</f>
        <v>Jdos. Violencia contra la mujer</v>
      </c>
      <c r="B18" s="497">
        <f>IF(ISNUMBER(NºAsuntos!G18/NºAsuntos!E18),NºAsuntos!G18/NºAsuntos!E18," - ")</f>
        <v>1.0547945205479452</v>
      </c>
      <c r="C18" s="498">
        <f>IF(ISNUMBER(NºAsuntos!I18/NºAsuntos!G18),NºAsuntos!I18/NºAsuntos!G18," - ")</f>
        <v>0.36363636363636365</v>
      </c>
      <c r="D18" s="499">
        <f>IF(ISNUMBER('Resol  Asuntos'!D18/NºAsuntos!G18),'Resol  Asuntos'!D18/NºAsuntos!G18," - ")</f>
        <v>0.12987012987012986</v>
      </c>
      <c r="E18" s="500">
        <f>IF(ISNUMBER((NºAsuntos!C18+NºAsuntos!E18)/NºAsuntos!G18),(NºAsuntos!C18+NºAsuntos!E18)/NºAsuntos!G18," - ")</f>
        <v>1.3636363636363635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1.0345528455284554</v>
      </c>
      <c r="C23" s="1156">
        <f>IF(ISNUMBER(NºAsuntos!I23/NºAsuntos!G23),NºAsuntos!I23/NºAsuntos!G23," - ")</f>
        <v>1.2023575638506876</v>
      </c>
      <c r="D23" s="1159">
        <f>IF(ISNUMBER('Resol  Asuntos'!D23/NºAsuntos!G23),'Resol  Asuntos'!D23/NºAsuntos!G23," - ")</f>
        <v>0.16502946954813361</v>
      </c>
      <c r="E23" s="1158">
        <f>IF(ISNUMBER((NºAsuntos!C23+NºAsuntos!E23)/NºAsuntos!G23),(NºAsuntos!C23+NºAsuntos!E23)/NºAsuntos!G23," - ")</f>
        <v>2.2023575638506876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1.0735785953177257</v>
      </c>
      <c r="C31" s="1099">
        <f>IF(ISNUMBER(NºAsuntos!I31/NºAsuntos!G31),NºAsuntos!I31/NºAsuntos!G31," - ")</f>
        <v>1.7248182762201454</v>
      </c>
      <c r="D31" s="1100">
        <f>IF(ISNUMBER('Resol  Asuntos'!D31/NºAsuntos!G31),'Resol  Asuntos'!D31/NºAsuntos!G31," - ")</f>
        <v>0.19626168224299065</v>
      </c>
      <c r="E31" s="1101">
        <f>IF(ISNUMBER((NºAsuntos!C31+NºAsuntos!E31)/NºAsuntos!G31),(NºAsuntos!C31+NºAsuntos!E31)/NºAsuntos!G31," - ")</f>
        <v>2.7248182762201454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5OWFwrADWJiVTVvPHnzz2AtHgc6u8FqKzWPeTWLuQ9sbWofWTbIIxPaMkRNcXpNtDSbk9mYb6fX2O4xSPQf+A==" saltValue="J9MygggkpXxveKkRQT8E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HUERCAL-OVERA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47</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0</v>
      </c>
      <c r="Y10" s="374">
        <f t="shared" ref="Y10:Y13" si="0">SUM(W10:X10)</f>
        <v>19</v>
      </c>
      <c r="Z10" s="375" t="str">
        <f>IF(ISNUMBER(Datos!CC10),Datos!CC10," - ")</f>
        <v xml:space="preserve"> - </v>
      </c>
      <c r="AA10" s="372">
        <f>IF(ISNUMBER(Datos!L10),Datos!L10,"-")</f>
        <v>35</v>
      </c>
      <c r="AB10" s="374">
        <f>IF(ISNUMBER(Datos!R10),Datos!R10," - ")</f>
        <v>7</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2.7142857142857144</v>
      </c>
      <c r="AM10" s="284">
        <f>IF(ISNUMBER(((NºAsuntos!I10/NºAsuntos!G10)*11)/factor_trimestre),((NºAsuntos!I10/NºAsuntos!G10)*11)/factor_trimestre," - ")</f>
        <v>5.526315789473685</v>
      </c>
      <c r="AN10" s="267">
        <f>IF(ISNUMBER('Resol  Asuntos'!D10/NºAsuntos!G10),'Resol  Asuntos'!D10/NºAsuntos!G10," - ")</f>
        <v>0.57894736842105265</v>
      </c>
      <c r="AO10" s="268">
        <f>IF(ISNUMBER((NºAsuntos!C10+NºAsuntos!E10)/NºAsuntos!G10),(NºAsuntos!C10+NºAsuntos!E10)/NºAsuntos!G10," - ")</f>
        <v>2.8421052631578947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200</v>
      </c>
      <c r="Y12" s="374">
        <f t="shared" si="0"/>
        <v>200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1.0929648241206029</v>
      </c>
      <c r="AM12" s="284">
        <f>IF(ISNUMBER(((NºAsuntos!I12/NºAsuntos!G12)*11)/factor_trimestre),((NºAsuntos!I12/NºAsuntos!G12)*11)/factor_trimestre," - ")</f>
        <v>6.9931034482758632</v>
      </c>
      <c r="AN12" s="267">
        <f>IF(ISNUMBER('Resol  Asuntos'!D12/NºAsuntos!G12),'Resol  Asuntos'!D12/NºAsuntos!G12," - ")</f>
        <v>0.2160919540229885</v>
      </c>
      <c r="AO12" s="268">
        <f>IF(ISNUMBER((NºAsuntos!C12+NºAsuntos!E12)/NºAsuntos!G12),(NºAsuntos!C12+NºAsuntos!E12)/NºAsuntos!G12," - ")</f>
        <v>3.3310344827586209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47</v>
      </c>
      <c r="G14" s="1163">
        <f t="shared" si="5"/>
        <v>47</v>
      </c>
      <c r="H14" s="1162">
        <f t="shared" si="5"/>
        <v>0</v>
      </c>
      <c r="I14" s="1164">
        <f t="shared" si="5"/>
        <v>0</v>
      </c>
      <c r="J14" s="1164">
        <f t="shared" si="5"/>
        <v>0</v>
      </c>
      <c r="K14" s="1164">
        <f t="shared" si="5"/>
        <v>0</v>
      </c>
      <c r="L14" s="1164">
        <f t="shared" si="5"/>
        <v>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200</v>
      </c>
      <c r="Y14" s="1165">
        <f t="shared" si="6"/>
        <v>219</v>
      </c>
      <c r="Z14" s="1165">
        <f t="shared" si="6"/>
        <v>0</v>
      </c>
      <c r="AA14" s="1165">
        <f t="shared" si="6"/>
        <v>35</v>
      </c>
      <c r="AB14" s="1165">
        <f t="shared" si="6"/>
        <v>2686</v>
      </c>
      <c r="AC14" s="1165">
        <f t="shared" si="6"/>
        <v>42</v>
      </c>
      <c r="AD14" s="1165">
        <f t="shared" si="6"/>
        <v>0</v>
      </c>
      <c r="AE14" s="1169">
        <f t="shared" si="6"/>
        <v>0</v>
      </c>
      <c r="AF14" s="1162">
        <f t="shared" si="6"/>
        <v>0</v>
      </c>
      <c r="AG14" s="1170">
        <f t="shared" si="6"/>
        <v>0</v>
      </c>
      <c r="AH14" s="1167">
        <f t="shared" si="6"/>
        <v>0</v>
      </c>
      <c r="AI14" s="1162">
        <f t="shared" si="6"/>
        <v>105</v>
      </c>
      <c r="AJ14" s="1164">
        <f t="shared" si="6"/>
        <v>0</v>
      </c>
      <c r="AK14" s="1167">
        <f>SUBTOTAL(9,AK9:AK13)</f>
        <v>0</v>
      </c>
      <c r="AL14" s="1171">
        <f>IF(ISNUMBER(NºAsuntos!G14/NºAsuntos!E14),NºAsuntos!G14/NºAsuntos!E14," - ")</f>
        <v>1.1209876543209876</v>
      </c>
      <c r="AM14" s="1171">
        <f>IF(ISNUMBER(((NºAsuntos!I14/NºAsuntos!G14)*11)/factor_trimestre),((NºAsuntos!I14/NºAsuntos!G14)*11)/factor_trimestre," - ")</f>
        <v>6.9317180616740091</v>
      </c>
      <c r="AN14" s="1172">
        <f>IF(ISNUMBER('Resol  Asuntos'!D14/NºAsuntos!G14),'Resol  Asuntos'!D14/NºAsuntos!G14," - ")</f>
        <v>0.23127753303964757</v>
      </c>
      <c r="AO14" s="1173">
        <f>IF(ISNUMBER((NºAsuntos!C14+NºAsuntos!E14)/NºAsuntos!G14),(NºAsuntos!C14+NºAsuntos!E14)/NºAsuntos!G14," - ")</f>
        <v>3.3105726872246697</v>
      </c>
      <c r="AP14" s="1174" t="str">
        <f t="shared" si="2"/>
        <v xml:space="preserve"> - </v>
      </c>
      <c r="AQ14" s="1174">
        <f>IF(ISNUMBER((H14-W14+K14)/(F14)),(H14-W14+K14)/(F14)," - ")</f>
        <v>-0.40425531914893614</v>
      </c>
      <c r="AR14" s="1175">
        <f>IF(ISNUMBER((Datos!P14-Datos!Q14)/(Datos!R14-Datos!P14+Datos!Q14)),(Datos!P14-Datos!Q14)/(Datos!R14-Datos!P14+Datos!Q14)," - ")</f>
        <v>-3.7620924399856683E-2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597</v>
      </c>
      <c r="G17" s="373">
        <f>IF(ISNUMBER(IF(D_I="SI",Datos!I17,Datos!I17+Datos!AC17)),IF(D_I="SI",Datos!I17,Datos!I17+Datos!AC17)," - ")</f>
        <v>597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432</v>
      </c>
      <c r="X17" s="240">
        <f>IF(ISNUMBER(Datos!Q17),Datos!Q17," - ")</f>
        <v>1</v>
      </c>
      <c r="Y17" s="374">
        <f t="shared" ref="Y17:Y22" si="9">SUM(W17:X17)</f>
        <v>433</v>
      </c>
      <c r="Z17" s="375" t="str">
        <f>IF(ISNUMBER(Datos!CC17),Datos!CC17," - ")</f>
        <v xml:space="preserve"> - </v>
      </c>
      <c r="AA17" s="372">
        <f>IF(ISNUMBER(IF(D_I="SI",Datos!L17,Datos!L17+Datos!AF17)),IF(D_I="SI",Datos!L17,Datos!L17+Datos!AF17)," - ")</f>
        <v>584</v>
      </c>
      <c r="AB17" s="374">
        <f>IF(ISNUMBER(Datos!R17),Datos!R17," - ")</f>
        <v>70</v>
      </c>
      <c r="AC17" s="374">
        <f t="shared" si="8"/>
        <v>654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74</v>
      </c>
      <c r="AJ17" s="245" t="str">
        <f>IF(ISNUMBER(Datos!BW17),Datos!BW17," - ")</f>
        <v xml:space="preserve"> - </v>
      </c>
      <c r="AK17" s="246" t="str">
        <f>IF(ISNUMBER(Datos!BX17),Datos!BX17," - ")</f>
        <v xml:space="preserve"> - </v>
      </c>
      <c r="AL17" s="266">
        <f>IF(ISNUMBER(NºAsuntos!G17/NºAsuntos!E17),NºAsuntos!G17/NºAsuntos!E17," - ")</f>
        <v>1.0310262529832936</v>
      </c>
      <c r="AM17" s="284">
        <f>IF(ISNUMBER(((NºAsuntos!I17/NºAsuntos!G17)*11)/factor_trimestre),((NºAsuntos!I17/NºAsuntos!G17)*11)/factor_trimestre," - ")</f>
        <v>4.0555555555555554</v>
      </c>
      <c r="AN17" s="267">
        <f>IF(ISNUMBER('Resol  Asuntos'!D17/NºAsuntos!G17),'Resol  Asuntos'!D17/NºAsuntos!G17," - ")</f>
        <v>0.17129629629629631</v>
      </c>
      <c r="AO17" s="268">
        <f>IF(ISNUMBER((NºAsuntos!C17+NºAsuntos!E17)/NºAsuntos!G17),(NºAsuntos!C17+NºAsuntos!E17)/NºAsuntos!G17," - ")</f>
        <v>2.3518518518518516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1</v>
      </c>
      <c r="Y18" s="374">
        <f t="shared" si="9"/>
        <v>78</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1.0547945205479452</v>
      </c>
      <c r="AM18" s="284">
        <f>IF(ISNUMBER(((NºAsuntos!I18/NºAsuntos!G18)*11)/factor_trimestre),((NºAsuntos!I18/NºAsuntos!G18)*11)/factor_trimestre," - ")</f>
        <v>1.0909090909090911</v>
      </c>
      <c r="AN18" s="267">
        <f>IF(ISNUMBER('Resol  Asuntos'!D18/NºAsuntos!G18),'Resol  Asuntos'!D18/NºAsuntos!G18," - ")</f>
        <v>0.12987012987012986</v>
      </c>
      <c r="AO18" s="268">
        <f>IF(ISNUMBER((NºAsuntos!C18+NºAsuntos!E18)/NºAsuntos!G18),(NºAsuntos!C18+NºAsuntos!E18)/NºAsuntos!G18," - ")</f>
        <v>1.3636363636363635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597</v>
      </c>
      <c r="G23" s="1163">
        <f>SUBTOTAL(9,G16:G22)</f>
        <v>629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509</v>
      </c>
      <c r="X23" s="1164">
        <f t="shared" si="14"/>
        <v>2</v>
      </c>
      <c r="Y23" s="1165">
        <f t="shared" si="14"/>
        <v>511</v>
      </c>
      <c r="Z23" s="1165">
        <f t="shared" si="14"/>
        <v>0</v>
      </c>
      <c r="AA23" s="1165">
        <f t="shared" si="14"/>
        <v>612</v>
      </c>
      <c r="AB23" s="1165">
        <f t="shared" si="14"/>
        <v>70</v>
      </c>
      <c r="AC23" s="1165">
        <f t="shared" si="14"/>
        <v>682</v>
      </c>
      <c r="AD23" s="1165">
        <f t="shared" si="14"/>
        <v>0</v>
      </c>
      <c r="AE23" s="1169">
        <f t="shared" si="14"/>
        <v>0</v>
      </c>
      <c r="AF23" s="1162">
        <f t="shared" si="14"/>
        <v>0</v>
      </c>
      <c r="AG23" s="1170">
        <f t="shared" si="14"/>
        <v>0</v>
      </c>
      <c r="AH23" s="1167">
        <f t="shared" si="14"/>
        <v>0</v>
      </c>
      <c r="AI23" s="1162">
        <f t="shared" si="14"/>
        <v>84</v>
      </c>
      <c r="AJ23" s="1164">
        <f t="shared" si="14"/>
        <v>0</v>
      </c>
      <c r="AK23" s="1167">
        <f t="shared" si="14"/>
        <v>0</v>
      </c>
      <c r="AL23" s="1171">
        <f>IF(ISNUMBER(NºAsuntos!G23/NºAsuntos!E23),NºAsuntos!G23/NºAsuntos!E23," - ")</f>
        <v>1.0345528455284554</v>
      </c>
      <c r="AM23" s="1171">
        <f>IF(ISNUMBER(((NºAsuntos!I23/NºAsuntos!G23)*11)/factor_trimestre),((NºAsuntos!I23/NºAsuntos!G23)*11)/factor_trimestre," - ")</f>
        <v>3.6070726915520628</v>
      </c>
      <c r="AN23" s="1172">
        <f>IF(ISNUMBER('Resol  Asuntos'!D23/NºAsuntos!G23),'Resol  Asuntos'!D23/NºAsuntos!G23," - ")</f>
        <v>0.16502946954813361</v>
      </c>
      <c r="AO23" s="1173">
        <f>IF(ISNUMBER((NºAsuntos!C23+NºAsuntos!E23)/NºAsuntos!G23),(NºAsuntos!C23+NºAsuntos!E23)/NºAsuntos!G23," - ")</f>
        <v>2.2023575638506876</v>
      </c>
      <c r="AP23" s="1174" t="str">
        <f t="shared" si="2"/>
        <v xml:space="preserve"> - </v>
      </c>
      <c r="AQ23" s="1174">
        <f>IF(ISNUMBER((H23-W23+K23)/(F23)),(H23-W23+K23)/(F23)," - ")</f>
        <v>-0.85259631490787269</v>
      </c>
      <c r="AR23" s="1175">
        <f>IF(ISNUMBER((Datos!P23-Datos!Q23)/(Datos!R23-Datos!P23+Datos!Q23)),(Datos!P23-Datos!Q23)/(Datos!R23-Datos!P23+Datos!Q23)," - ")</f>
        <v>9.375E-2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644</v>
      </c>
      <c r="G31" s="1118">
        <f t="shared" si="20"/>
        <v>676</v>
      </c>
      <c r="H31" s="1117">
        <f t="shared" si="20"/>
        <v>0</v>
      </c>
      <c r="I31" s="1119">
        <f t="shared" si="20"/>
        <v>0</v>
      </c>
      <c r="J31" s="1119">
        <f t="shared" si="20"/>
        <v>0</v>
      </c>
      <c r="K31" s="1180">
        <f t="shared" si="20"/>
        <v>0</v>
      </c>
      <c r="L31" s="1119">
        <f t="shared" si="20"/>
        <v>103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528</v>
      </c>
      <c r="X31" s="1118">
        <f t="shared" si="21"/>
        <v>202</v>
      </c>
      <c r="Y31" s="1125">
        <f t="shared" si="21"/>
        <v>730</v>
      </c>
      <c r="Z31" s="1125">
        <f t="shared" si="21"/>
        <v>0</v>
      </c>
      <c r="AA31" s="1125">
        <f t="shared" si="21"/>
        <v>647</v>
      </c>
      <c r="AB31" s="1125">
        <f t="shared" si="21"/>
        <v>2756</v>
      </c>
      <c r="AC31" s="1125">
        <f t="shared" si="21"/>
        <v>724</v>
      </c>
      <c r="AD31" s="1125">
        <f t="shared" si="21"/>
        <v>0</v>
      </c>
      <c r="AE31" s="1127">
        <f t="shared" si="21"/>
        <v>0</v>
      </c>
      <c r="AF31" s="1128">
        <f t="shared" si="21"/>
        <v>0</v>
      </c>
      <c r="AG31" s="1129">
        <f t="shared" si="21"/>
        <v>0</v>
      </c>
      <c r="AH31" s="1127">
        <f t="shared" si="21"/>
        <v>0</v>
      </c>
      <c r="AI31" s="1117">
        <f t="shared" si="21"/>
        <v>189</v>
      </c>
      <c r="AJ31" s="1117">
        <f t="shared" si="21"/>
        <v>0</v>
      </c>
      <c r="AK31" s="1127">
        <f t="shared" si="21"/>
        <v>0</v>
      </c>
      <c r="AL31" s="1183">
        <f>IF(ISNUMBER(NºAsuntos!G31/NºAsuntos!E31),NºAsuntos!G31/NºAsuntos!E31," - ")</f>
        <v>1.0735785953177257</v>
      </c>
      <c r="AM31" s="1184">
        <f>IF(ISNUMBER(((NºAsuntos!I31/NºAsuntos!G31)*11)/factor_trimestre),((NºAsuntos!I31/NºAsuntos!G31)*11)/factor_trimestre," - ")</f>
        <v>5.174454828660437</v>
      </c>
      <c r="AN31" s="1184">
        <f>IF(ISNUMBER('Resol  Asuntos'!D31/NºAsuntos!G31),'Resol  Asuntos'!D31/NºAsuntos!G31," - ")</f>
        <v>0.19626168224299065</v>
      </c>
      <c r="AO31" s="1185">
        <f>IF(ISNUMBER((NºAsuntos!C31+NºAsuntos!E31)/NºAsuntos!G31),(NºAsuntos!C31+NºAsuntos!E31)/NºAsuntos!G31," - ")</f>
        <v>2.7248182762201454</v>
      </c>
      <c r="AP31" s="1186" t="str">
        <f t="shared" si="2"/>
        <v xml:space="preserve"> - </v>
      </c>
      <c r="AQ31" s="1187">
        <f>IF(OR(ISNUMBER(FIND("01",Criterios!A8,1)),ISNUMBER(FIND("02",Criterios!A8,1)),ISNUMBER(FIND("03",Criterios!A8,1)),ISNUMBER(FIND("04",Criterios!A8,1))),(I31-W31+K31)/(F31-K31),(H31-W31+K31)/(F31-K31))</f>
        <v>-0.81987577639751552</v>
      </c>
      <c r="AR31" s="1188">
        <f>IF(ISNUMBER((Datos!P31-Datos!Q31)/(Datos!R31-Datos!P31+Datos!Q31)),(Datos!P31-Datos!Q31)/(Datos!R31-Datos!P31+Datos!Q31)," - ")</f>
        <v>-3.4676007005253938E-2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296.89908498792425</v>
      </c>
      <c r="G33" s="277">
        <f>IF(ISNUMBER(STDEV(G8:G30)),STDEV(G8:G30),"-")</f>
        <v>287.62326550045088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221.00183149424242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45.909071621443807</v>
      </c>
      <c r="AJ33" s="276">
        <f t="shared" si="25"/>
        <v>0</v>
      </c>
      <c r="AK33" s="278">
        <f t="shared" si="25"/>
        <v>0</v>
      </c>
      <c r="AL33" s="273">
        <f t="shared" si="25"/>
        <v>0.67346069753932725</v>
      </c>
      <c r="AM33" s="274">
        <f t="shared" si="25"/>
        <v>2.2608413923493251</v>
      </c>
      <c r="AN33" s="274">
        <f t="shared" si="25"/>
        <v>0.16585702524310783</v>
      </c>
      <c r="AO33" s="275">
        <f t="shared" si="25"/>
        <v>0.75361379744977486</v>
      </c>
      <c r="AP33" s="317" t="str">
        <f t="shared" si="25"/>
        <v>-</v>
      </c>
      <c r="AQ33" s="318">
        <f t="shared" si="25"/>
        <v>0.31702495838507316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76cKFYKkg1GV+NC6XTo/VPxsyr+BxWHuKmZuOrBDeHc2E3bOExHN+MgHO3TVq1AElD6mX+FHEVVMA/F8/BnwA==" saltValue="yfkyYXrkT3FSMCRxvmMB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HUERCAL-OVERA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0.30555555555555558</v>
      </c>
      <c r="E10" s="393">
        <f>IF(ISNUMBER((Datos!J10-Datos!T10)/Datos!T10),(Datos!J10-Datos!T10)/Datos!T10," - ")</f>
        <v>-0.22222222222222221</v>
      </c>
      <c r="F10" s="393">
        <f>IF(ISNUMBER((Datos!K10-Datos!U10)/Datos!U10),(Datos!K10-Datos!U10)/Datos!U10," - ")</f>
        <v>2.1666666666666665</v>
      </c>
      <c r="G10" s="394">
        <f>IF(ISNUMBER((Datos!L10-Datos!V10)/Datos!V10),(Datos!L10-Datos!V10)/Datos!V10," - ")</f>
        <v>-0.10256410256410256</v>
      </c>
      <c r="H10" s="244">
        <f>IF(ISNUMBER((Datos!M10-Datos!W10)/Datos!W10),(Datos!M10-Datos!W10)/Datos!W10," - ")</f>
        <v>0.83333333333333337</v>
      </c>
      <c r="I10" s="395">
        <f>IF(ISNUMBER((Tasas!C10-Datos!BE10)/Datos!BE10),(Tasas!C10-Datos!BE10)/Datos!BE10," - ")</f>
        <v>-0.7165991902834008</v>
      </c>
      <c r="J10" s="394">
        <f>IF(ISNUMBER((Tasas!D10-Datos!BF10)/Datos!BF10),(Tasas!D10-Datos!BF10)/Datos!BF10," - ")</f>
        <v>-0.42105263157894735</v>
      </c>
      <c r="K10" s="396">
        <f>IF(ISNUMBER((Tasas!E10-Datos!BG10)/Datos!BG10),(Tasas!E10-Datos!BG10)/Datos!BG10," - ")</f>
        <v>-0.62105263157894741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-8.7378640776699032E-2</v>
      </c>
      <c r="I12" s="395">
        <f>IF(ISNUMBER((Tasas!C12-Datos!BE12)/Datos!BE12),(Tasas!C12-Datos!BE12)/Datos!BE12," - ")</f>
        <v>0.43494331601322644</v>
      </c>
      <c r="J12" s="394">
        <f>IF(ISNUMBER((Tasas!D12-Datos!BF12)/Datos!BF12),(Tasas!D12-Datos!BF12)/Datos!BF12," - ")</f>
        <v>-0.53201772607672071</v>
      </c>
      <c r="K12" s="396">
        <f>IF(ISNUMBER((Tasas!E12-Datos!BG12)/Datos!BG12),(Tasas!E12-Datos!BG12)/Datos!BG12," - ")</f>
        <v>0.32175154144781909</v>
      </c>
      <c r="M12" t="e">
        <f>IF(Monitorios="SI",Datos!CE12,0)</f>
        <v>#REF!</v>
      </c>
      <c r="N12" t="e">
        <f>IF(Monitorios="SI",Datos!CF12,0)</f>
        <v>#REF!</v>
      </c>
      <c r="O12" t="e">
        <f>IF(Monitorios="SI",Datos!CG12,0)</f>
        <v>#REF!</v>
      </c>
      <c r="P12" t="e">
        <f>IF(Monitorios="SI",Datos!CH12,0)</f>
        <v>#REF!</v>
      </c>
      <c r="Q12">
        <f>IF(J_V="SI",0,Datos!AG12)</f>
        <v>91</v>
      </c>
      <c r="R12">
        <f>IF(J_V="SI",0,Datos!AH12)</f>
        <v>51</v>
      </c>
      <c r="S12">
        <f>IF(J_V="SI",0,Datos!AI12)</f>
        <v>56</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-3.669724770642202E-2</v>
      </c>
      <c r="I14" s="402">
        <f>IF(ISNUMBER((Tasas!C14-Datos!BE14)/Datos!BE14),(Tasas!C14-Datos!BE14)/Datos!BE14," - ")</f>
        <v>0.3878750606776184</v>
      </c>
      <c r="J14" s="400">
        <f>IF(ISNUMBER((Tasas!D14-Datos!BF14)/Datos!BF14),(Tasas!D14-Datos!BF14)/Datos!BF14," - ")</f>
        <v>-0.50391653416051929</v>
      </c>
      <c r="K14" s="403">
        <f>IF(ISNUMBER((Tasas!E14-Datos!BG14)/Datos!BG14),(Tasas!E14-Datos!BG14)/Datos!BG14," - ")</f>
        <v>0.29249606797947519</v>
      </c>
      <c r="M14" t="e">
        <f>IF(Monitorios="SI",Datos!CE14,0)</f>
        <v>#REF!</v>
      </c>
      <c r="N14" t="e">
        <f>IF(Monitorios="SI",Datos!CF14,0)</f>
        <v>#REF!</v>
      </c>
      <c r="O14" t="e">
        <f>IF(Monitorios="SI",Datos!CG14,0)</f>
        <v>#REF!</v>
      </c>
      <c r="P14" t="e">
        <f>IF(Monitorios="SI",Datos!CH14,0)</f>
        <v>#REF!</v>
      </c>
      <c r="Q14">
        <f>IF(J_V="SI",0,Datos!AG14)</f>
        <v>91</v>
      </c>
      <c r="R14">
        <f>IF(J_V="SI",0,Datos!AH14)</f>
        <v>51</v>
      </c>
      <c r="S14">
        <f>IF(J_V="SI",0,Datos!AI14)</f>
        <v>56</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-0.14714285714285713</v>
      </c>
      <c r="E17" s="393">
        <f>IF(ISNUMBER(
   IF(D_I="SI",(Datos!J17-Datos!T17)/Datos!T17,(Datos!J17+Datos!AD17-(Datos!T17+Datos!AL17))/(Datos!T17+Datos!AL17))
     ),IF(D_I="SI",(Datos!J17-Datos!T17)/Datos!T17,(Datos!J17+Datos!AD17-(Datos!T17+Datos!AL17))/(Datos!T17+Datos!AL17))," - ")</f>
        <v>-0.47885572139303484</v>
      </c>
      <c r="F17" s="393">
        <f>IF(ISNUMBER(
   IF(D_I="SI",(Datos!K17-Datos!U17)/Datos!U17,(Datos!K17+Datos!AE17-(Datos!U17+Datos!AM17))/(Datos!U17+Datos!AM17))
     ),IF(D_I="SI",(Datos!K17-Datos!U17)/Datos!U17,(Datos!K17+Datos!AE17-(Datos!U17+Datos!AM17))/(Datos!U17+Datos!AM17))," - ")</f>
        <v>-0.46928746928746928</v>
      </c>
      <c r="G17" s="394">
        <f>IF(ISNUMBER(
   IF(D_I="SI",(Datos!L17-Datos!V17)/Datos!V17,(Datos!L17+Datos!AF17-(Datos!V17+Datos!AN17))/(Datos!V17+Datos!AN17))
     ),IF(D_I="SI",(Datos!L17-Datos!V17)/Datos!V17,(Datos!L17+Datos!AF17-(Datos!V17+Datos!AN17))/(Datos!V17+Datos!AN17))," - ")</f>
        <v>-0.15971223021582734</v>
      </c>
      <c r="H17" s="244">
        <f>IF(ISNUMBER((Datos!M17-Datos!W17)/Datos!W17),(Datos!M17-Datos!W17)/Datos!W17," - ")</f>
        <v>-0.17777777777777778</v>
      </c>
      <c r="I17" s="395">
        <f>IF(ISNUMBER((Tasas!C17-Datos!BE17)/Datos!BE17),(Tasas!C17-Datos!BE17)/Datos!BE17," - ")</f>
        <v>0.5833200106581401</v>
      </c>
      <c r="J17" s="394">
        <f>IF(ISNUMBER((Tasas!D17-Datos!BF17)/Datos!BF17),(Tasas!D17-Datos!BF17)/Datos!BF17," - ")</f>
        <v>0.5492798353909466</v>
      </c>
      <c r="K17" s="396">
        <f>IF(ISNUMBER((Tasas!E17-Datos!BG17)/Datos!BG17),(Tasas!E17-Datos!BG17)/Datos!BG17," - ")</f>
        <v>0.27287726556343567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-0.4576271186440678</v>
      </c>
      <c r="E18" s="393">
        <f>IF(ISNUMBER(
   IF(D_I="SI",(Datos!J18-Datos!T18)/Datos!T18,(Datos!J18+Datos!AD18-(Datos!T18+Datos!AL18))/(Datos!T18+Datos!AL18))
     ),IF(D_I="SI",(Datos!J18-Datos!T18)/Datos!T18,(Datos!J18+Datos!AD18-(Datos!T18+Datos!AL18))/(Datos!T18+Datos!AL18))," - ")</f>
        <v>0.30357142857142855</v>
      </c>
      <c r="F18" s="393">
        <f>IF(ISNUMBER(
   IF(D_I="SI",(Datos!K18-Datos!U18)/Datos!U18,(Datos!K18+Datos!AE18-(Datos!U18+Datos!AM18))/(Datos!U18+Datos!AM18))
     ),IF(D_I="SI",(Datos!K18-Datos!U18)/Datos!U18,(Datos!K18+Datos!AE18-(Datos!U18+Datos!AM18))/(Datos!U18+Datos!AM18))," - ")</f>
        <v>0.67391304347826086</v>
      </c>
      <c r="G18" s="394">
        <f>IF(ISNUMBER(
   IF(D_I="SI",(Datos!L18-Datos!V18)/Datos!V18,(Datos!L18+Datos!AF18-(Datos!V18+Datos!AN18))/(Datos!V18+Datos!AN18))
     ),IF(D_I="SI",(Datos!L18-Datos!V18)/Datos!V18,(Datos!L18+Datos!AF18-(Datos!V18+Datos!AN18))/(Datos!V18+Datos!AN18))," - ")</f>
        <v>-0.59420289855072461</v>
      </c>
      <c r="H18" s="244">
        <f>IF(ISNUMBER((Datos!M18-Datos!W18)/Datos!W18),(Datos!M18-Datos!W18)/Datos!W18," - ")</f>
        <v>0</v>
      </c>
      <c r="I18" s="395">
        <f>IF(ISNUMBER((Tasas!C18-Datos!BE18)/Datos!BE18),(Tasas!C18-Datos!BE18)/Datos!BE18," - ")</f>
        <v>-0.75757575757575746</v>
      </c>
      <c r="J18" s="394">
        <f>IF(ISNUMBER((Tasas!D18-Datos!BF18)/Datos!BF18),(Tasas!D18-Datos!BF18)/Datos!BF18," - ")</f>
        <v>-0.40259740259740262</v>
      </c>
      <c r="K18" s="396">
        <f>IF(ISNUMBER((Tasas!E18-Datos!BG18)/Datos!BG18),(Tasas!E18-Datos!BG18)/Datos!BG18," - ")</f>
        <v>-0.45454545454545459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-0.17127799736495389</v>
      </c>
      <c r="E23" s="399">
        <f>IF(ISNUMBER(
   IF(D_I="SI",(Datos!J23-Datos!T23)/Datos!T23,(Datos!J23+Datos!AD23-(Datos!T23+Datos!AL23))/(Datos!T23+Datos!AL23))
     ),IF(D_I="SI",(Datos!J23-Datos!T23)/Datos!T23,(Datos!J23+Datos!AD23-(Datos!T23+Datos!AL23))/(Datos!T23+Datos!AL23))," - ")</f>
        <v>-0.42790697674418604</v>
      </c>
      <c r="F23" s="399">
        <f>IF(ISNUMBER(
   IF(D_I="SI",(Datos!K23-Datos!U23)/Datos!U23,(Datos!K23+Datos!AE23-(Datos!U23+Datos!AM23))/(Datos!U23+Datos!AM23))
     ),IF(D_I="SI",(Datos!K23-Datos!U23)/Datos!U23,(Datos!K23+Datos!AE23-(Datos!U23+Datos!AM23))/(Datos!U23+Datos!AM23))," - ")</f>
        <v>-0.40813953488372096</v>
      </c>
      <c r="G23" s="400">
        <f>IF(ISNUMBER(
   IF(D_I="SI",(Datos!L23-Datos!V23)/Datos!V23,(Datos!L23+Datos!AF23-(Datos!V23+Datos!AN23))/(Datos!V23+Datos!AN23))
     ),IF(D_I="SI",(Datos!L23-Datos!V23)/Datos!V23,(Datos!L23+Datos!AF23-(Datos!V23+Datos!AN23))/(Datos!V23+Datos!AN23))," - ")</f>
        <v>-0.19895287958115182</v>
      </c>
      <c r="H23" s="401">
        <f>IF(ISNUMBER((Datos!M23-Datos!W23)/Datos!W23),(Datos!M23-Datos!W23)/Datos!W23," - ")</f>
        <v>-0.16</v>
      </c>
      <c r="I23" s="402">
        <f>IF(ISNUMBER((Tasas!C23-Datos!BE23)/Datos!BE23),(Tasas!C23-Datos!BE23)/Datos!BE23," - ")</f>
        <v>0.35343914255443892</v>
      </c>
      <c r="J23" s="400">
        <f>IF(ISNUMBER((Tasas!D23-Datos!BF23)/Datos!BF23),(Tasas!D23-Datos!BF23)/Datos!BF23," - ")</f>
        <v>0.41925343811394905</v>
      </c>
      <c r="K23" s="403">
        <f>IF(ISNUMBER((Tasas!E23-Datos!BG23)/Datos!BG23),(Tasas!E23-Datos!BG23)/Datos!BG23," - ")</f>
        <v>0.16987492582556593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-0.15343137254901962</v>
      </c>
      <c r="E31" s="409">
        <f>IF(ISNUMBER(
   IF(J_V="SI",(Datos!J31-Datos!T31)/Datos!T31,(Datos!J31+Datos!Z31-(Datos!T31+Datos!AH31))/(Datos!T31+Datos!AH31))
     ),IF(J_V="SI",(Datos!J31-Datos!T31)/Datos!T31,(Datos!J31+Datos!Z31-(Datos!T31+Datos!AH31))/(Datos!T31+Datos!AH31))," - ")</f>
        <v>-0.37534818941504178</v>
      </c>
      <c r="F31" s="409">
        <f>IF(ISNUMBER(
   IF(J_V="SI",(Datos!K31-Datos!U31)/Datos!U31,(Datos!K31+Datos!AA31-(Datos!U31+Datos!AI31))/(Datos!U31+Datos!AI31))
     ),IF(J_V="SI",(Datos!K31-Datos!U31)/Datos!U31,(Datos!K31+Datos!AA31-(Datos!U31+Datos!AI31))/(Datos!U31+Datos!AI31))," - ")</f>
        <v>-0.39242902208201891</v>
      </c>
      <c r="G31" s="410">
        <f>IF(ISNUMBER(
   IF(J_V="SI",(Datos!L31-Datos!V31)/Datos!V31,(Datos!L31+Datos!AB31-(Datos!V31+Datos!AJ31))/(Datos!V31+Datos!AJ31))
     ),IF(J_V="SI",(Datos!L31-Datos!V31)/Datos!V31,(Datos!L31+Datos!AB31-(Datos!V31+Datos!AJ31))/(Datos!V31+Datos!AJ31))," - ")</f>
        <v>-0.15728056823947234</v>
      </c>
      <c r="H31" s="411">
        <f>IF(ISNUMBER((Datos!M31-Datos!W31)/Datos!W31),(Datos!M31-Datos!W31)/Datos!W31," - ")</f>
        <v>-9.569377990430622E-2</v>
      </c>
      <c r="I31" s="408">
        <f>IF(ISNUMBER((Tasas!C31-Datos!BE31)/Datos!BE31),(Tasas!C31-Datos!BE31)/Datos!BE31," - ")</f>
        <v>0.38703042506795038</v>
      </c>
      <c r="J31" s="409">
        <f>IF(ISNUMBER((Tasas!D31-Datos!BF31)/Datos!BF31),(Tasas!D31-Datos!BF31)/Datos!BF31," - ")</f>
        <v>-0.28978363845858413</v>
      </c>
      <c r="K31" s="410">
        <f>IF(ISNUMBER((Tasas!E31-Datos!BG31)/Datos!BG31),(Tasas!E31-Datos!BG31)/Datos!BG31," - ")</f>
        <v>0.24247323584836897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0.31540089372360164</v>
      </c>
      <c r="E33" s="303">
        <f t="shared" si="1"/>
        <v>0.35759318265549245</v>
      </c>
      <c r="F33" s="303">
        <f t="shared" si="1"/>
        <v>1.2344931087477311</v>
      </c>
      <c r="G33" s="304">
        <f t="shared" si="1"/>
        <v>0.22375767351390832</v>
      </c>
      <c r="H33" s="310">
        <f t="shared" si="1"/>
        <v>0.38409154474627138</v>
      </c>
      <c r="I33" s="302">
        <f t="shared" si="1"/>
        <v>0.61297045097445446</v>
      </c>
      <c r="J33" s="303">
        <f t="shared" si="1"/>
        <v>0.49426669940259194</v>
      </c>
      <c r="K33" s="304">
        <f t="shared" si="1"/>
        <v>0.42063233084554741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szsB9X5YuDUkpoJSB6OJs2RrBNxeszPSxCZBj3djAVVosPIWQ1W4vfMbWRRCevomV6+g23zwRH7pqNqfqqDtA==" saltValue="e43Y/oap3H6xQBlqMB6u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